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231"/>
  <workbookPr codeName="ThisWorkbook"/>
  <mc:AlternateContent xmlns:mc="http://schemas.openxmlformats.org/markup-compatibility/2006">
    <mc:Choice Requires="x15">
      <x15ac:absPath xmlns:x15ac="http://schemas.microsoft.com/office/spreadsheetml/2010/11/ac" url="https://richmondandwandsworth-my.sharepoint.com/personal/deivi_norberg_richmondandwandsworth_gov_uk/Documents/Microsoft Copilot Chat Files/Documents/4. Upload/"/>
    </mc:Choice>
  </mc:AlternateContent>
  <xr:revisionPtr revIDLastSave="419" documentId="8_{EE2B49E0-9504-405B-8F1C-039ED6C97128}" xr6:coauthVersionLast="47" xr6:coauthVersionMax="47" xr10:uidLastSave="{8E684290-40F0-4A0B-BFA1-A4B77BAF8434}"/>
  <bookViews>
    <workbookView xWindow="-110" yWindow="-110" windowWidth="38620" windowHeight="21100" tabRatio="791" activeTab="9" xr2:uid="{99FFF8D4-CFE0-4752-A700-AB2D6E787DA2}"/>
  </bookViews>
  <sheets>
    <sheet name="Instructions" sheetId="9" r:id="rId1"/>
    <sheet name="Contents" sheetId="1" r:id="rId2"/>
    <sheet name="Application Details" sheetId="2" r:id="rId3"/>
    <sheet name="Development Details" sheetId="3" r:id="rId4"/>
    <sheet name="A" sheetId="5" r:id="rId5"/>
    <sheet name="B" sheetId="30" r:id="rId6"/>
    <sheet name="C" sheetId="16" r:id="rId7"/>
    <sheet name="D" sheetId="15" r:id="rId8"/>
    <sheet name="E" sheetId="8" r:id="rId9"/>
    <sheet name="Requirements Summary" sheetId="33" r:id="rId10"/>
    <sheet name="Lookup workspace contribution" sheetId="34" state="hidden" r:id="rId11"/>
    <sheet name="Lookup Development Size" sheetId="6" state="hidden" r:id="rId12"/>
    <sheet name="Lookup Predominant Use" sheetId="11" state="hidden" r:id="rId13"/>
    <sheet name="Lookup Yes and No" sheetId="12" state="hidden" r:id="rId14"/>
    <sheet name="Population Development Matrix" sheetId="20" state="hidden" r:id="rId15"/>
    <sheet name="Population Yield" sheetId="21" state="hidden" r:id="rId16"/>
    <sheet name="Population 2004 Yield" sheetId="22" state="hidden" r:id="rId17"/>
    <sheet name="Population 2007 Yield" sheetId="23" state="hidden" r:id="rId18"/>
    <sheet name="Standard Messages" sheetId="32" state="hidden" r:id="rId19"/>
  </sheets>
  <definedNames>
    <definedName name="Inputs_still_required">'Standard Messages'!$B$2</definedName>
    <definedName name="No_requirement">'Standard Messages'!$B$3</definedName>
    <definedName name="No_requirement_in_document">'Standard Messages'!$B$5</definedName>
    <definedName name="Not_included_in_calculator">'Standard Messages'!$B$4</definedName>
    <definedName name="Not_included_in_summary">'Standard Messages'!$B$6</definedName>
    <definedName name="_xlnm.Print_Area" localSheetId="4">A!$B$2:$P$66</definedName>
    <definedName name="_xlnm.Print_Area" localSheetId="2">'Application Details'!$B$2:$E$12</definedName>
    <definedName name="_xlnm.Print_Area" localSheetId="5">B!$B$2:$P$19</definedName>
    <definedName name="_xlnm.Print_Area" localSheetId="6">'C'!$B$2:$P$45</definedName>
    <definedName name="_xlnm.Print_Area" localSheetId="1">Contents!$B$2:$Q$52</definedName>
    <definedName name="_xlnm.Print_Area" localSheetId="7">D!$B$2:$P$57</definedName>
    <definedName name="_xlnm.Print_Area" localSheetId="3">'Development Details'!$B$2:$P$95</definedName>
    <definedName name="_xlnm.Print_Area" localSheetId="8">E!$B$2:$P$76</definedName>
    <definedName name="_xlnm.Print_Area" localSheetId="0">Instructions!$B$2:$Q$46</definedName>
    <definedName name="_xlnm.Print_Area" localSheetId="14">'Population Development Matrix'!$A$1:$J$26</definedName>
    <definedName name="_xlnm.Print_Area" localSheetId="15">'Population Yield'!$A$1:$M$28</definedName>
    <definedName name="_xlnm.Print_Area" localSheetId="9">'Requirements Summary'!$B$2:$Q$57</definedName>
    <definedName name="_xlnm.Print_Titles" localSheetId="1">Contents!$13:$13</definedName>
    <definedName name="_xlnm.Print_Titles" localSheetId="9">'Requirements Summary'!$5:$6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0" i="33" l="1"/>
  <c r="I10" i="33"/>
  <c r="K47" i="33"/>
  <c r="I47" i="33"/>
  <c r="H29" i="3"/>
  <c r="H27" i="3"/>
  <c r="H28" i="3"/>
  <c r="G16" i="16"/>
  <c r="L23" i="3"/>
  <c r="G30" i="3"/>
  <c r="H30" i="3" l="1"/>
  <c r="H81" i="3"/>
  <c r="H74" i="3"/>
  <c r="H76" i="3" s="1"/>
  <c r="L6" i="15" s="1"/>
  <c r="H67" i="3"/>
  <c r="H19" i="15" l="1"/>
  <c r="I46" i="15"/>
  <c r="I49" i="15"/>
  <c r="L8" i="30"/>
  <c r="I16" i="33" s="1"/>
  <c r="I8" i="33"/>
  <c r="G20" i="16"/>
  <c r="G40" i="16"/>
  <c r="G36" i="16"/>
  <c r="G32" i="16"/>
  <c r="G24" i="16"/>
  <c r="K19" i="3"/>
  <c r="G19" i="3"/>
  <c r="H69" i="3"/>
  <c r="H29" i="15" a="1"/>
  <c r="H29" i="15" s="1"/>
  <c r="I52" i="15"/>
  <c r="I53" i="15" s="1"/>
  <c r="I44" i="15"/>
  <c r="H21" i="15"/>
  <c r="G62" i="3"/>
  <c r="K39" i="33" s="1"/>
  <c r="H83" i="3"/>
  <c r="K37" i="33" l="1"/>
  <c r="I38" i="33"/>
  <c r="I39" i="33"/>
  <c r="I37" i="33"/>
  <c r="I29" i="33"/>
  <c r="F14" i="30"/>
  <c r="F15" i="30"/>
  <c r="F16" i="30" s="1"/>
  <c r="K16" i="33" s="1"/>
  <c r="B3" i="32" l="1"/>
  <c r="M22" i="3" l="1"/>
  <c r="K42" i="5" l="1"/>
  <c r="K43" i="5"/>
  <c r="K44" i="5"/>
  <c r="K45" i="5"/>
  <c r="K46" i="5"/>
  <c r="K50" i="5" l="1"/>
  <c r="K51" i="5"/>
  <c r="D58" i="5"/>
  <c r="D57" i="5"/>
  <c r="D56" i="5"/>
  <c r="K49" i="5"/>
  <c r="I43" i="15" l="1"/>
  <c r="I45" i="15" s="1"/>
  <c r="I47" i="15" s="1"/>
  <c r="I50" i="15" s="1"/>
  <c r="H32" i="15"/>
  <c r="K38" i="33" s="1"/>
  <c r="H31" i="15"/>
  <c r="H22" i="15"/>
  <c r="H23" i="15" s="1"/>
  <c r="C7" i="9"/>
  <c r="C10" i="9" s="1"/>
  <c r="C12" i="9" s="1"/>
  <c r="C15" i="9" s="1"/>
  <c r="C24" i="9" s="1"/>
  <c r="C26" i="9" s="1"/>
  <c r="C28" i="9" s="1"/>
  <c r="C30" i="9" s="1"/>
  <c r="I51" i="15" l="1"/>
  <c r="I54" i="15" s="1"/>
  <c r="D7" i="15"/>
  <c r="E9" i="15"/>
  <c r="C32" i="9"/>
  <c r="C37" i="9" s="1"/>
  <c r="C43" i="9" s="1"/>
  <c r="D14" i="20" l="1"/>
  <c r="E14" i="20"/>
  <c r="F14" i="20"/>
  <c r="G14" i="20"/>
  <c r="H14" i="20"/>
  <c r="I14" i="20"/>
  <c r="D15" i="20"/>
  <c r="E15" i="20"/>
  <c r="F15" i="20"/>
  <c r="G15" i="20"/>
  <c r="H15" i="20"/>
  <c r="I15" i="20"/>
  <c r="E13" i="20"/>
  <c r="F13" i="20"/>
  <c r="G13" i="20"/>
  <c r="H13" i="20"/>
  <c r="I13" i="20"/>
  <c r="D13" i="20"/>
  <c r="D10" i="20"/>
  <c r="E10" i="20"/>
  <c r="F10" i="20"/>
  <c r="G10" i="20"/>
  <c r="H10" i="20"/>
  <c r="I10" i="20"/>
  <c r="D11" i="20"/>
  <c r="E11" i="20"/>
  <c r="F11" i="20"/>
  <c r="G11" i="20"/>
  <c r="H11" i="20"/>
  <c r="I11" i="20"/>
  <c r="E9" i="20"/>
  <c r="F9" i="20"/>
  <c r="G9" i="20"/>
  <c r="H9" i="20"/>
  <c r="I9" i="20"/>
  <c r="D9" i="20"/>
  <c r="F12" i="20" l="1"/>
  <c r="D12" i="20"/>
  <c r="H12" i="20"/>
  <c r="E12" i="20"/>
  <c r="G12" i="20"/>
  <c r="I12" i="20"/>
  <c r="I8" i="21"/>
  <c r="J10" i="21"/>
  <c r="J24" i="21" s="1"/>
  <c r="B1" i="21"/>
  <c r="K1" i="21"/>
  <c r="C8" i="21"/>
  <c r="J8" i="21"/>
  <c r="K8" i="21"/>
  <c r="C9" i="21"/>
  <c r="C23" i="21" s="1"/>
  <c r="E9" i="21"/>
  <c r="E23" i="21" s="1"/>
  <c r="I9" i="21"/>
  <c r="I23" i="21" s="1"/>
  <c r="K9" i="21"/>
  <c r="K23" i="21" s="1"/>
  <c r="C10" i="21"/>
  <c r="C24" i="21" s="1"/>
  <c r="E10" i="21"/>
  <c r="E24" i="21" s="1"/>
  <c r="I10" i="21"/>
  <c r="I24" i="21" s="1"/>
  <c r="K10" i="21"/>
  <c r="K24" i="21" s="1"/>
  <c r="C11" i="21"/>
  <c r="E11" i="21"/>
  <c r="I11" i="21"/>
  <c r="K11" i="21"/>
  <c r="C12" i="21"/>
  <c r="E12" i="21"/>
  <c r="I12" i="21"/>
  <c r="J12" i="21"/>
  <c r="C13" i="21"/>
  <c r="J13" i="21"/>
  <c r="K13" i="21"/>
  <c r="C14" i="21"/>
  <c r="E14" i="21"/>
  <c r="I14" i="21"/>
  <c r="J14" i="21"/>
  <c r="C15" i="21"/>
  <c r="J15" i="21"/>
  <c r="K15" i="21"/>
  <c r="C16" i="21"/>
  <c r="E16" i="21"/>
  <c r="I16" i="21"/>
  <c r="J16" i="21"/>
  <c r="J9" i="20"/>
  <c r="J13" i="20"/>
  <c r="J14" i="20"/>
  <c r="J15" i="20"/>
  <c r="D16" i="20"/>
  <c r="E16" i="20"/>
  <c r="F16" i="20"/>
  <c r="G16" i="20"/>
  <c r="H16" i="20"/>
  <c r="I16" i="20"/>
  <c r="H17" i="20" l="1"/>
  <c r="F17" i="20"/>
  <c r="I15" i="21"/>
  <c r="L15" i="21" s="1"/>
  <c r="I13" i="21"/>
  <c r="L13" i="21" s="1"/>
  <c r="C7" i="21"/>
  <c r="C22" i="21" s="1"/>
  <c r="D17" i="20"/>
  <c r="E7" i="21"/>
  <c r="J11" i="20"/>
  <c r="K16" i="21"/>
  <c r="L16" i="21" s="1"/>
  <c r="E15" i="21"/>
  <c r="K14" i="21"/>
  <c r="L14" i="21" s="1"/>
  <c r="E13" i="21"/>
  <c r="K12" i="21"/>
  <c r="L12" i="21" s="1"/>
  <c r="E8" i="21"/>
  <c r="K7" i="21"/>
  <c r="K22" i="21" s="1"/>
  <c r="K25" i="21" s="1"/>
  <c r="J9" i="21"/>
  <c r="J23" i="21" s="1"/>
  <c r="L23" i="21" s="1"/>
  <c r="I17" i="20"/>
  <c r="D7" i="21"/>
  <c r="G17" i="20"/>
  <c r="J11" i="21"/>
  <c r="L11" i="21" s="1"/>
  <c r="J10" i="20"/>
  <c r="D16" i="21"/>
  <c r="F16" i="21" s="1"/>
  <c r="D15" i="21"/>
  <c r="D14" i="21"/>
  <c r="F14" i="21" s="1"/>
  <c r="D13" i="21"/>
  <c r="D12" i="21"/>
  <c r="F12" i="21" s="1"/>
  <c r="D11" i="21"/>
  <c r="F11" i="21" s="1"/>
  <c r="D10" i="21"/>
  <c r="D24" i="21" s="1"/>
  <c r="F24" i="21" s="1"/>
  <c r="D9" i="21"/>
  <c r="D23" i="21" s="1"/>
  <c r="F23" i="21" s="1"/>
  <c r="J7" i="21"/>
  <c r="D8" i="21"/>
  <c r="I7" i="21"/>
  <c r="I22" i="21" s="1"/>
  <c r="I25" i="21" s="1"/>
  <c r="J16" i="20"/>
  <c r="L24" i="21"/>
  <c r="L10" i="21"/>
  <c r="L8" i="21"/>
  <c r="J12" i="20"/>
  <c r="E17" i="20"/>
  <c r="C17" i="21" l="1"/>
  <c r="D22" i="21"/>
  <c r="D25" i="21" s="1"/>
  <c r="F15" i="21"/>
  <c r="F9" i="21"/>
  <c r="E17" i="21"/>
  <c r="F8" i="21"/>
  <c r="F7" i="21"/>
  <c r="L9" i="21"/>
  <c r="F13" i="21"/>
  <c r="C21" i="20"/>
  <c r="C20" i="20" s="1"/>
  <c r="I17" i="21"/>
  <c r="J17" i="20"/>
  <c r="B20" i="20" s="1"/>
  <c r="E22" i="21"/>
  <c r="E25" i="21" s="1"/>
  <c r="K17" i="21"/>
  <c r="J17" i="21"/>
  <c r="J22" i="21"/>
  <c r="J25" i="21" s="1"/>
  <c r="F10" i="21"/>
  <c r="D17" i="21"/>
  <c r="L7" i="21"/>
  <c r="C25" i="21"/>
  <c r="F17" i="21" l="1"/>
  <c r="F22" i="21"/>
  <c r="F25" i="21" s="1"/>
  <c r="L17" i="21"/>
  <c r="L22" i="21"/>
  <c r="L25" i="21" l="1"/>
  <c r="I19" i="3"/>
  <c r="H19" i="3"/>
  <c r="K23" i="3"/>
  <c r="J23" i="3"/>
  <c r="I23" i="3"/>
  <c r="H23" i="3"/>
  <c r="G23" i="3"/>
  <c r="M20" i="3"/>
  <c r="M21" i="3"/>
  <c r="J19" i="3"/>
  <c r="M17" i="3"/>
  <c r="M18" i="3"/>
  <c r="M16" i="3"/>
  <c r="M23" i="3" l="1"/>
  <c r="M19" i="3"/>
  <c r="G32" i="3" s="1"/>
  <c r="I22" i="33" l="1"/>
  <c r="I18" i="33"/>
  <c r="I24" i="33"/>
  <c r="J6" i="16"/>
  <c r="K28" i="33" s="1"/>
  <c r="I17" i="33"/>
  <c r="K24" i="33"/>
  <c r="K22" i="33"/>
  <c r="K17" i="33"/>
  <c r="I44" i="33"/>
  <c r="I32" i="33"/>
  <c r="K30" i="33"/>
  <c r="K32" i="33"/>
  <c r="K44" i="33"/>
  <c r="K18" i="33"/>
  <c r="I30" i="33"/>
  <c r="G34" i="16"/>
  <c r="C2" i="6"/>
  <c r="K29" i="5" s="1"/>
  <c r="D26" i="5" s="1"/>
  <c r="D27" i="5" s="1"/>
  <c r="K41" i="5"/>
  <c r="G33" i="16" l="1"/>
  <c r="I28" i="33"/>
  <c r="F13" i="5"/>
  <c r="F15" i="5" l="1"/>
  <c r="K8" i="33" l="1"/>
  <c r="L15" i="5"/>
  <c r="L13" i="5"/>
  <c r="M6" i="8"/>
  <c r="I41" i="33" l="1"/>
  <c r="I42" i="33"/>
  <c r="I33" i="8"/>
  <c r="I35" i="8"/>
  <c r="I22" i="8"/>
  <c r="I36" i="8"/>
  <c r="M49" i="8"/>
  <c r="M10" i="8"/>
  <c r="I40" i="8"/>
  <c r="D8" i="8"/>
  <c r="I52" i="8"/>
  <c r="I21" i="8"/>
  <c r="M50" i="8"/>
  <c r="I23" i="8"/>
  <c r="I43" i="33" l="1"/>
  <c r="K43" i="33"/>
  <c r="I41" i="8"/>
  <c r="I42" i="8"/>
  <c r="K41" i="33" s="1"/>
  <c r="I64" i="8"/>
  <c r="I65" i="8"/>
  <c r="D12" i="8"/>
  <c r="I62" i="8"/>
  <c r="E13" i="16" a="1"/>
  <c r="E13" i="16" s="1"/>
  <c r="G38" i="16" s="1"/>
  <c r="D7" i="16"/>
  <c r="G37" i="16"/>
  <c r="G41" i="16" l="1"/>
  <c r="G42" i="16"/>
  <c r="K29" i="33" s="1"/>
  <c r="M48" i="8"/>
  <c r="I54" i="8" s="1"/>
  <c r="K42" i="33" s="1"/>
  <c r="G21" i="16" a="1"/>
  <c r="G21" i="16" s="1"/>
  <c r="G22" i="16"/>
  <c r="G18" i="16"/>
  <c r="G13" i="16" a="1"/>
  <c r="G13" i="16" s="1"/>
  <c r="G17" i="16"/>
  <c r="I53" i="8" l="1"/>
  <c r="G26" i="16"/>
  <c r="G25" i="1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<sst xmlns="http://schemas.openxmlformats.org/spreadsheetml/2006/main" count="1035" uniqueCount="373">
  <si>
    <t>Wandsworth Planning Obligations Supplementary Planning Document Calculator</t>
  </si>
  <si>
    <t>Contents</t>
  </si>
  <si>
    <t>Instructions</t>
  </si>
  <si>
    <t>Application Details</t>
  </si>
  <si>
    <t>Development Details</t>
  </si>
  <si>
    <t>Calculation Sheets:</t>
  </si>
  <si>
    <t xml:space="preserve"> </t>
  </si>
  <si>
    <t>Section of the Planning Obligations Supplementary Planning Document</t>
  </si>
  <si>
    <t>Calculation Sheet</t>
  </si>
  <si>
    <t>-</t>
  </si>
  <si>
    <t>Section 106 Monitoring Fee</t>
  </si>
  <si>
    <t>A</t>
  </si>
  <si>
    <t>B</t>
  </si>
  <si>
    <t>C</t>
  </si>
  <si>
    <t>D</t>
  </si>
  <si>
    <t>Arts and Culture</t>
  </si>
  <si>
    <t>E</t>
  </si>
  <si>
    <t>F</t>
  </si>
  <si>
    <t>Open Space</t>
  </si>
  <si>
    <t>Decentralised Energy Networks</t>
  </si>
  <si>
    <t>Air Quality</t>
  </si>
  <si>
    <t>Historic Environment</t>
  </si>
  <si>
    <t>CCTV</t>
  </si>
  <si>
    <t>Requirements Summary</t>
  </si>
  <si>
    <t>What This Calculator Covers</t>
  </si>
  <si>
    <t>Information That Must Be Entered</t>
  </si>
  <si>
    <t>In this calculator, any fields that require information about the development to be entered are shaded gold:</t>
  </si>
  <si>
    <t>Input Required</t>
  </si>
  <si>
    <t>Any fields that are automatically calculated, as a result of the information that has been entered, are shaded grey:</t>
  </si>
  <si>
    <t>Calculated Field</t>
  </si>
  <si>
    <t>Any fields that are automatically calculated, and result in a requirement, are shaded green:</t>
  </si>
  <si>
    <t>Requirement</t>
  </si>
  <si>
    <t>Enter all the details required on the Application Details and Development Details sheets.</t>
  </si>
  <si>
    <t>Calculator Results</t>
  </si>
  <si>
    <t>Help on Using the Calculator</t>
  </si>
  <si>
    <t>Email</t>
  </si>
  <si>
    <t>Application number</t>
  </si>
  <si>
    <t>Site address</t>
  </si>
  <si>
    <t>Development description</t>
  </si>
  <si>
    <t>Date entered into calculator</t>
  </si>
  <si>
    <t>Dwelling Type</t>
  </si>
  <si>
    <t>Tenure</t>
  </si>
  <si>
    <t>Unit Size</t>
  </si>
  <si>
    <t>Studio</t>
  </si>
  <si>
    <t>1 Bed</t>
  </si>
  <si>
    <t>2 Bed</t>
  </si>
  <si>
    <t>3 Bed</t>
  </si>
  <si>
    <t>4 Bed</t>
  </si>
  <si>
    <t>5+ Bed</t>
  </si>
  <si>
    <t>Total</t>
  </si>
  <si>
    <t>Flats</t>
  </si>
  <si>
    <t>Market</t>
  </si>
  <si>
    <t>Intermediate</t>
  </si>
  <si>
    <t>Social/Affordable Rent</t>
  </si>
  <si>
    <t>Houses</t>
  </si>
  <si>
    <t>Proposed Floorspace</t>
  </si>
  <si>
    <t>All Floorspace</t>
  </si>
  <si>
    <t>Use Class</t>
  </si>
  <si>
    <t>Gross Internal Area (m²)</t>
  </si>
  <si>
    <t>B2</t>
  </si>
  <si>
    <t>B8</t>
  </si>
  <si>
    <t>C1</t>
  </si>
  <si>
    <t>C2</t>
  </si>
  <si>
    <t>C2A</t>
  </si>
  <si>
    <t>C3</t>
  </si>
  <si>
    <t>C4</t>
  </si>
  <si>
    <t>Sui generis</t>
  </si>
  <si>
    <t>Non-residential Floorspace</t>
  </si>
  <si>
    <r>
      <rPr>
        <i/>
        <sz val="10"/>
        <color theme="1"/>
        <rFont val="Tahoma"/>
        <family val="2"/>
        <scheme val="minor"/>
      </rPr>
      <t>Sui generis</t>
    </r>
    <r>
      <rPr>
        <sz val="10"/>
        <color theme="1"/>
        <rFont val="Tahoma"/>
        <family val="2"/>
        <scheme val="minor"/>
      </rPr>
      <t xml:space="preserve"> or flexible uses non-residential floorspace</t>
    </r>
  </si>
  <si>
    <t>Inputs Required on Calculation Sheets</t>
  </si>
  <si>
    <t>Section</t>
  </si>
  <si>
    <t>Sheets</t>
  </si>
  <si>
    <t>These calculator inputs are required, but require responses based on the context of the topic, so are presented on the relevant calculation sheets</t>
  </si>
  <si>
    <t>Relevant to Application</t>
  </si>
  <si>
    <t>Reason:</t>
  </si>
  <si>
    <t>Provision of Employment Opportunities for Wandsworth Residents</t>
  </si>
  <si>
    <t>Construction Phase</t>
  </si>
  <si>
    <t>Jobs, training and apprenticeship places</t>
  </si>
  <si>
    <t>=</t>
  </si>
  <si>
    <t>Employee yield</t>
  </si>
  <si>
    <t>Employment and Enterprise Contribution</t>
  </si>
  <si>
    <t>Provision of employment opportunities for Wandsworth residents</t>
  </si>
  <si>
    <t>As calculated above</t>
  </si>
  <si>
    <t>Average cost of placing Wandsworth residents in jobs, training places and apprenticeships</t>
  </si>
  <si>
    <t>% of employees in Wandsworth requiring training and support</t>
  </si>
  <si>
    <t>Financial contribution</t>
  </si>
  <si>
    <t>Managed workspace floorspace (m²)</t>
  </si>
  <si>
    <t>Affordable floorspace (m²)</t>
  </si>
  <si>
    <t>Commuted sum required</t>
  </si>
  <si>
    <t>Age</t>
  </si>
  <si>
    <t>80+</t>
  </si>
  <si>
    <t>Zero carbon shortfall</t>
  </si>
  <si>
    <t>tonnes of carbon dioxide per year</t>
  </si>
  <si>
    <t>Carbon offset</t>
  </si>
  <si>
    <t>Yes</t>
  </si>
  <si>
    <t>Calculations</t>
  </si>
  <si>
    <t>Monitoring fee at time of agreement</t>
  </si>
  <si>
    <t>officer time (h) × hourly rate (£)</t>
  </si>
  <si>
    <t>Monitoring fee at time of payment</t>
  </si>
  <si>
    <t>monitoring fee at time of agreement × indexation</t>
  </si>
  <si>
    <t>Inputs</t>
  </si>
  <si>
    <t>Hourly Rate</t>
  </si>
  <si>
    <t>per hour</t>
  </si>
  <si>
    <t>Set annually by Wandsworth Council</t>
  </si>
  <si>
    <t>Officer Time</t>
  </si>
  <si>
    <t>For clarity, the indexation component of the formula (× (E × F)) has been shown separately, under 'Indexation', below</t>
  </si>
  <si>
    <t>Development type multiplier</t>
  </si>
  <si>
    <t>Number of non-financial obligations</t>
  </si>
  <si>
    <t>Number of financial obligations</t>
  </si>
  <si>
    <t>Number of demand notices required for all financial obligation categories</t>
  </si>
  <si>
    <t>Development Type Multiplier</t>
  </si>
  <si>
    <t>Development Size and Type</t>
  </si>
  <si>
    <t>Assumed Delivery Timescale in
Years (G)</t>
  </si>
  <si>
    <t>Hours per Scheme per Year (H)</t>
  </si>
  <si>
    <t>Development Type Multiplier
(A = G × H)</t>
  </si>
  <si>
    <t>The development type multiplier is shown shaded dark grey in this table, calculated based on the data entered on the 'Development Details' sheet. If any required data is missing from that sheet, the calculation will produce an error.</t>
  </si>
  <si>
    <t>Residential</t>
  </si>
  <si>
    <t>Proposed Dwellings</t>
  </si>
  <si>
    <t>R1</t>
  </si>
  <si>
    <t>Less than 10</t>
  </si>
  <si>
    <t>R2</t>
  </si>
  <si>
    <t>10–49</t>
  </si>
  <si>
    <t>R3</t>
  </si>
  <si>
    <t>50–99</t>
  </si>
  <si>
    <t>R4</t>
  </si>
  <si>
    <t>100–149</t>
  </si>
  <si>
    <t>R5</t>
  </si>
  <si>
    <t>150–199</t>
  </si>
  <si>
    <t>R6</t>
  </si>
  <si>
    <t>200 or more</t>
  </si>
  <si>
    <t>Non-Residential</t>
  </si>
  <si>
    <t>Proposed Floorspace (m²)</t>
  </si>
  <si>
    <t>NR1</t>
  </si>
  <si>
    <t>Less than 1,000</t>
  </si>
  <si>
    <t>NR2</t>
  </si>
  <si>
    <t>1,000–10,000</t>
  </si>
  <si>
    <t>NR3</t>
  </si>
  <si>
    <t>10,000 or more</t>
  </si>
  <si>
    <t>Indexation</t>
  </si>
  <si>
    <t>the greater of 1 and (E / F)</t>
  </si>
  <si>
    <t>BCIS Index on the date when the section 106 monitoring fee is paid</t>
  </si>
  <si>
    <t>Date:</t>
  </si>
  <si>
    <t>The BCIS Index is available from Wandsworth Council</t>
  </si>
  <si>
    <t>BCIS Index on the date when the section 106 agreement is completed</t>
  </si>
  <si>
    <t>May apply</t>
  </si>
  <si>
    <t>Arts and Cultural Infrastructure Contribution</t>
  </si>
  <si>
    <t>Refer to the Supplementary Planning Document</t>
  </si>
  <si>
    <t>Development Size and Type Code</t>
  </si>
  <si>
    <t>Non-residential</t>
  </si>
  <si>
    <t>No</t>
  </si>
  <si>
    <t>Development Matrix</t>
  </si>
  <si>
    <t>Development:</t>
  </si>
  <si>
    <t>App No.</t>
  </si>
  <si>
    <t>Number of Bedrooms</t>
  </si>
  <si>
    <t>5+</t>
  </si>
  <si>
    <t>Social Rented</t>
  </si>
  <si>
    <t>Affordable</t>
  </si>
  <si>
    <t>Affordable Split</t>
  </si>
  <si>
    <t>1.  Type in Development Name and/or Application Number</t>
  </si>
  <si>
    <t>2.  Enter proposed number of dwellings of each size, type and tenure into matrix.</t>
  </si>
  <si>
    <t>3.  Press button 'Calculate Population Yield'.</t>
  </si>
  <si>
    <t>Population Yield (Initial)</t>
  </si>
  <si>
    <t>Population Yield (Over time)</t>
  </si>
  <si>
    <t>0-2</t>
  </si>
  <si>
    <t>3-4</t>
  </si>
  <si>
    <t>5-10</t>
  </si>
  <si>
    <t>11-15</t>
  </si>
  <si>
    <t>16-19</t>
  </si>
  <si>
    <t>20-29</t>
  </si>
  <si>
    <t>30-39</t>
  </si>
  <si>
    <t>40-59</t>
  </si>
  <si>
    <t>60-79</t>
  </si>
  <si>
    <t>Child Yield (Initial)</t>
  </si>
  <si>
    <t>Child Yield (Over time)</t>
  </si>
  <si>
    <t>0-4</t>
  </si>
  <si>
    <t>Source: 2004 New Housing Survey</t>
  </si>
  <si>
    <t>Source: 2007 New Housing Re-Survey (2004 Sites Only)</t>
  </si>
  <si>
    <t>2004 Sites Original Survey Yield</t>
  </si>
  <si>
    <t>MARKET FLATS (Owner Occupied &amp; Rent Private)</t>
  </si>
  <si>
    <t>MARKET HOUSES (Owner Occupied &amp; Rent Private)</t>
  </si>
  <si>
    <t>Market Assumptions</t>
  </si>
  <si>
    <t>0 bed flats = yield 1 bed flats</t>
  </si>
  <si>
    <t>5+ bed flats = yield 4 bed flats</t>
  </si>
  <si>
    <t>0 bed houses = yield 1 bed houses</t>
  </si>
  <si>
    <t>Part-own/Part-rent Flats</t>
  </si>
  <si>
    <t>Part-own/Part-rent Houses</t>
  </si>
  <si>
    <t>Intermediate Assumptions</t>
  </si>
  <si>
    <t>3 bed flats = yield 2 bed flats</t>
  </si>
  <si>
    <t>4+ bed flats = yield 3 bed houses</t>
  </si>
  <si>
    <t>0 bed houses = yield 0 bed flats</t>
  </si>
  <si>
    <t>1 bed houses = yield 1 bed flats</t>
  </si>
  <si>
    <t>4+ bed houses = yield 3 bed houses</t>
  </si>
  <si>
    <t>Rent Housing Association Flats</t>
  </si>
  <si>
    <t>Rent Housing Association Houses</t>
  </si>
  <si>
    <t>Social Rent Assumptions</t>
  </si>
  <si>
    <t>2 bed houses = yield 2 bed flats</t>
  </si>
  <si>
    <t>5+ bed houses = yield 4 bed houses</t>
  </si>
  <si>
    <t xml:space="preserve">Source: 2004 New Housing Survey </t>
  </si>
  <si>
    <t>Wandsworth Council does not accept any responsibility for loss or liability occasioned as a result of usage of this data.  It is provided for information only.</t>
  </si>
  <si>
    <t>These data have been provided to you for the sole use of your organisation and in some instances for specific projects.  
Data must not be passed onto any other organisation or individual without prior permission from Wandsworth Council.</t>
  </si>
  <si>
    <t>Contact: Christine Cook, 020 8871 7177, ccook@wandsworth.gov.uk</t>
  </si>
  <si>
    <t>Borough Planner's Service, Wandsworth Council, London, SW18 2PU.</t>
  </si>
  <si>
    <t>2004 Sites 2007 Re-Survey Yield</t>
  </si>
  <si>
    <t>4 bed flats = yield 3 bed flats</t>
  </si>
  <si>
    <t>5+ bed flats = yield 4 bed houses</t>
  </si>
  <si>
    <t>Source: 2007 New Housing Re-Survey (Sites originally surveyed in 2004 only)</t>
  </si>
  <si>
    <t>Type</t>
  </si>
  <si>
    <t>Message</t>
  </si>
  <si>
    <t>Inputs still required</t>
  </si>
  <si>
    <t>No requirement</t>
  </si>
  <si>
    <t>Not included in calculator</t>
  </si>
  <si>
    <t>No requirement in document</t>
  </si>
  <si>
    <t>Not included in summary</t>
  </si>
  <si>
    <t>Calculator Version: 3.3</t>
  </si>
  <si>
    <t>Negotiating and monitoring Planning Obligations</t>
  </si>
  <si>
    <t>Section 106 Monitoring Fee Calculation</t>
  </si>
  <si>
    <t>Highways inspection fee</t>
  </si>
  <si>
    <t>Placemaking - Area Strategies</t>
  </si>
  <si>
    <t>Achieving High Quality Places and Design Excellence</t>
  </si>
  <si>
    <t>Tackling Climate Change</t>
  </si>
  <si>
    <t>Responding to the Climate Crisis (Carbon Reduction)</t>
  </si>
  <si>
    <t>Water and Flooding</t>
  </si>
  <si>
    <t>Waste</t>
  </si>
  <si>
    <t>Providing for Wandsworth's People</t>
  </si>
  <si>
    <t>Social and Community Infrastructure</t>
  </si>
  <si>
    <t>Play Space</t>
  </si>
  <si>
    <t>Utilities and Digital Connectivity Infrastructure</t>
  </si>
  <si>
    <t>Building a Strong Economy</t>
  </si>
  <si>
    <t>Affordable and Open Workspace</t>
  </si>
  <si>
    <t>Local Employment and Training Opportunities</t>
  </si>
  <si>
    <t>The Use of Local Goods, Services, Suppliers and Sub-contractors by the Developer</t>
  </si>
  <si>
    <t>Ensuring the Vitality, Vibrancy and Uniqueness of the Borough's Centres</t>
  </si>
  <si>
    <t>Visitor Accommodation</t>
  </si>
  <si>
    <t>Sustainable Transport</t>
  </si>
  <si>
    <t>Green and Blue Infrastructure and the Natural Environment</t>
  </si>
  <si>
    <t>Biodiversity</t>
  </si>
  <si>
    <t>Trees</t>
  </si>
  <si>
    <t>Not included: refer to the Planning Obligations SPD</t>
  </si>
  <si>
    <t>6 Tackling Climate Change</t>
  </si>
  <si>
    <t>6.1 Responding to the Climate Crisis (Carbon Reduction)</t>
  </si>
  <si>
    <t>7 Providing for Wandsworth's People</t>
  </si>
  <si>
    <t>7.25 Arts and Culture</t>
  </si>
  <si>
    <t>8.1 Affordable and Open Workspace</t>
  </si>
  <si>
    <t>8.14 Local Employment and Training Opportunities</t>
  </si>
  <si>
    <t>Does the development need to off-set regulated emissions through a financial contribution?</t>
  </si>
  <si>
    <t>Can the carbon savings required by Policy LP10 be delivered on-site?</t>
  </si>
  <si>
    <t>Use Class Description</t>
  </si>
  <si>
    <t>Hotels</t>
  </si>
  <si>
    <t>Dwellinghouses</t>
  </si>
  <si>
    <t>E(a)</t>
  </si>
  <si>
    <t>E(b)</t>
  </si>
  <si>
    <t>Display or retail sale of goods</t>
  </si>
  <si>
    <t>E(d)</t>
  </si>
  <si>
    <t>Indoor sport, recreation or fitness</t>
  </si>
  <si>
    <t>E(e)</t>
  </si>
  <si>
    <t>E(f)</t>
  </si>
  <si>
    <t>Creche, day nursery or day centre</t>
  </si>
  <si>
    <t>Provision of medical or health svcs</t>
  </si>
  <si>
    <t>Sale of food and drink on premises</t>
  </si>
  <si>
    <t>Houses in multiple occupation</t>
  </si>
  <si>
    <t>Secure residential institutions</t>
  </si>
  <si>
    <t>Residential institutions</t>
  </si>
  <si>
    <t>Storage and distribution</t>
  </si>
  <si>
    <t>General industrial</t>
  </si>
  <si>
    <t>F1</t>
  </si>
  <si>
    <t>F2</t>
  </si>
  <si>
    <t>Learning and non-residential institutions</t>
  </si>
  <si>
    <t>Local community</t>
  </si>
  <si>
    <t>Does the development need to contribute towards Arts and Culture?</t>
  </si>
  <si>
    <t>Will the applicant provide an Arts and Culture Plan?</t>
  </si>
  <si>
    <t>Total Contribution</t>
  </si>
  <si>
    <t>Non-residential Contribution</t>
  </si>
  <si>
    <t>Residential contribution</t>
  </si>
  <si>
    <t>Does the development need to contribute towards new arts and cultural infrastructure?</t>
  </si>
  <si>
    <t>Economic Floorspace</t>
  </si>
  <si>
    <t>Based on the definition of 'Economic uses / floorspace' in the Local Plan: Office, research and development, light industry, general industry, storage and logistics/distribution, and appropriate sui generis uses / floorspace that relate to and support the industrial nature and operation of an area.</t>
  </si>
  <si>
    <r>
      <t xml:space="preserve">Use classes B2, B8, E(a), E(b), E(c), E(d), E(e), E(f), E(g), F1, F2 provide non-residential floorspace, but so may </t>
    </r>
    <r>
      <rPr>
        <sz val="10"/>
        <color rgb="FF7F7F7F"/>
        <rFont val="Tahoma"/>
        <family val="2"/>
        <scheme val="minor"/>
      </rPr>
      <t>sui generis</t>
    </r>
    <r>
      <rPr>
        <i/>
        <sz val="10"/>
        <color rgb="FF7F7F7F"/>
        <rFont val="Tahoma"/>
        <family val="2"/>
        <scheme val="minor"/>
      </rPr>
      <t xml:space="preserve"> or flexible uses</t>
    </r>
  </si>
  <si>
    <t>B2, B8, E(a), E(b), E(c), E(d), E(e), E(f), E(g), F1, F2 floorspace</t>
  </si>
  <si>
    <t>Does the development need to make a contribution towards Affordable and Open Workspace?</t>
  </si>
  <si>
    <t>Requirement:</t>
  </si>
  <si>
    <t>How will the development contribute towards Affordable and Open Workspace?</t>
  </si>
  <si>
    <t>Open Workspace</t>
  </si>
  <si>
    <t>Affordable Workspace</t>
  </si>
  <si>
    <t>Financial Contribution</t>
  </si>
  <si>
    <t>Is the development in the Vauxhall Nine Elms Battersea Opportunity Area?</t>
  </si>
  <si>
    <t>Amount of discounted floorspace (m²)</t>
  </si>
  <si>
    <t>Percentage of discounted floorspace</t>
  </si>
  <si>
    <t>What is the investment yield?</t>
  </si>
  <si>
    <t>G</t>
  </si>
  <si>
    <t>H</t>
  </si>
  <si>
    <t>I</t>
  </si>
  <si>
    <t>J</t>
  </si>
  <si>
    <t>K</t>
  </si>
  <si>
    <t>Market rent per square metre</t>
  </si>
  <si>
    <t>Market rent for discounted floorspace before discount</t>
  </si>
  <si>
    <t>Percentage discount</t>
  </si>
  <si>
    <t>Rent after discount</t>
  </si>
  <si>
    <t>Value of discount</t>
  </si>
  <si>
    <t>Investment yield</t>
  </si>
  <si>
    <t>Income multiplier</t>
  </si>
  <si>
    <t>Capital value of discount</t>
  </si>
  <si>
    <t>What is the prevailing market rate per square metre for comparable premises in the area?</t>
  </si>
  <si>
    <t>Does the development need to make a contribution towards Local Employment and Training Opportunities expected from larger developments?</t>
  </si>
  <si>
    <t>Does the development need to make a contribution towards Local Employment and Training Opportunities expected from smaller developments?</t>
  </si>
  <si>
    <t>Residential Floorspace</t>
  </si>
  <si>
    <t>C1, C2, C2A, C3, C4 floorspace</t>
  </si>
  <si>
    <r>
      <rPr>
        <i/>
        <sz val="10"/>
        <color theme="1"/>
        <rFont val="Tahoma"/>
        <family val="2"/>
        <scheme val="minor"/>
      </rPr>
      <t>Sui generis</t>
    </r>
    <r>
      <rPr>
        <sz val="10"/>
        <color theme="1"/>
        <rFont val="Tahoma"/>
        <family val="2"/>
        <scheme val="minor"/>
      </rPr>
      <t xml:space="preserve"> </t>
    </r>
  </si>
  <si>
    <t>Flexible economic uses</t>
  </si>
  <si>
    <r>
      <rPr>
        <i/>
        <sz val="10"/>
        <color theme="1"/>
        <rFont val="Tahoma"/>
        <family val="2"/>
        <scheme val="minor"/>
      </rPr>
      <t>Sui generis</t>
    </r>
    <r>
      <rPr>
        <sz val="10"/>
        <color theme="1"/>
        <rFont val="Tahoma"/>
        <family val="2"/>
        <scheme val="minor"/>
      </rPr>
      <t xml:space="preserve"> or flexible economic uses</t>
    </r>
  </si>
  <si>
    <t>End-Use (Operational) Phase</t>
  </si>
  <si>
    <t>Refer to Table 5 of the Supplementary Planning Document. Employee yield = gross internal floor area / employee density. Employee density should be based onbased on the HCA employment density guide 2015 or similar recognised employment density metrics.</t>
  </si>
  <si>
    <t>Requirements for Larger Sites:</t>
  </si>
  <si>
    <t>Note: Refer to the Planning Obligations SPD for details of any requirements shown above</t>
  </si>
  <si>
    <t>8 Building a Strong Economy</t>
  </si>
  <si>
    <t>Requirements for Smaller Sites:</t>
  </si>
  <si>
    <t>Local Employment Contribution</t>
  </si>
  <si>
    <t>Jobs yield</t>
  </si>
  <si>
    <t>Derived from the CITB methodology or equivalent</t>
  </si>
  <si>
    <t>Only applicable to non-residential uses and residential uses where residential models generate end-use employment through on-site management and facilities teams e.g co-living schemes and Build to Rent.</t>
  </si>
  <si>
    <t>Carbon Offset Requirement Calculation</t>
  </si>
  <si>
    <t>Applies to all Section 106 agreements</t>
  </si>
  <si>
    <t>Then check the calculations sheets, sheets A–E, filling in any gold shaded input fields that are relevant to the application.</t>
  </si>
  <si>
    <t>2 Negotiating and monitoring Planning Obligations</t>
  </si>
  <si>
    <t>Monitoring Fees</t>
  </si>
  <si>
    <t>Does the development need to contribute to S106 Monitoring Fees?</t>
  </si>
  <si>
    <t>Refer to the Planning Obligations SPD</t>
  </si>
  <si>
    <t>B2, B8, E(g) floorspace</t>
  </si>
  <si>
    <t>Total gross economic floorspace (m²)</t>
  </si>
  <si>
    <t>These figures must be justified and evidenced within the planning submission.</t>
  </si>
  <si>
    <t>A + (B × 1.5) + (C × 1.5) + (D × 4)</t>
  </si>
  <si>
    <t>Responding to the Climate Crisis</t>
  </si>
  <si>
    <t>Not included: refer to the Planning Obligations SPD. The London Trees Officers Association publish a separate CAVAT calculator which may be used in relevant circumstances.</t>
  </si>
  <si>
    <t>This calculator has been prepared to help applicants identify how their development may trigger requirements set out in the Planning Obligations Supplementary Planning Document (the SPD). It is particularly intended to help calculate the likely value of financial contributions required but may also be useful to identify where the provision of on-site infrastructure will need to be considered.</t>
  </si>
  <si>
    <t xml:space="preserve">It does not cover all the requirements set out in the SPD as some requirements are very site-specific or are subject to triggers which are not directly related to the size and/or capacity of a site. </t>
  </si>
  <si>
    <t>In all instances, and particularly for those requirements which are site-specific, applicants should review the SPD for further information and detailed guidance. Applicants should not rely solely on the outputs of this calculator.</t>
  </si>
  <si>
    <t>The outputs of this calculator are indicative only and the Council reserves the right to require different or additional planning obligations where necessary to make the development acceptable in planning terms and subject to meeting the relevant tests.</t>
  </si>
  <si>
    <t xml:space="preserve">This version of the calculator has been newly prepared to support the publication of the new 2025 SPD. As it is new, it has been subject to limited external testing and therefore the Council cannot completely rule out the presence of errors. Where errors are identified in the course of planning applications, the Council will calculate the correct obligation and instruct applicants of this. Any suspected errors can be reported to wandsworthplanningpolicy@richmondandwandsworth.gov.uk. The Council will publish further versions of the calculator to ensure it is as effective and reliable as possible. </t>
  </si>
  <si>
    <t xml:space="preserve">Once all of the required inputs have been entered, the Requirements Summary tab provides an indicative summary of how the proposal may trigger the requirements set out in the SPD. This should act as a starting point for considerations at the planning application stage, however the Council reserves the right to request different or additional planning obligations where necessary based on site-specifics. Further guidance on examples of such site-specifics is set out in the SPD. </t>
  </si>
  <si>
    <t>wandsworthplanningpolicy@richmondandwandsworth.gov.uk</t>
  </si>
  <si>
    <t>For further information about the calculator, or for any help in using it, contact Wandsworth Planning Policy.</t>
  </si>
  <si>
    <t>Step 1: C = A x B</t>
  </si>
  <si>
    <t>Step 2: E = C x D</t>
  </si>
  <si>
    <t>Step 3: G = E x (1-F)</t>
  </si>
  <si>
    <t>Step 4: H = E - G</t>
  </si>
  <si>
    <t>Step 5: J = 1 / I</t>
  </si>
  <si>
    <t>Formula</t>
  </si>
  <si>
    <t>Self-contained Dwelling Type</t>
  </si>
  <si>
    <t>Residential care or nursing home rooms</t>
  </si>
  <si>
    <t>Student bedrooms</t>
  </si>
  <si>
    <t>Number of rooms</t>
  </si>
  <si>
    <t>Total Number of Dwellings</t>
  </si>
  <si>
    <t>Provision of financial, professional and other svcs</t>
  </si>
  <si>
    <t>E(c)</t>
  </si>
  <si>
    <t>Uses which can be carried out in a residential area: offices, R&amp;D, industrial processes</t>
  </si>
  <si>
    <t>E(g)</t>
  </si>
  <si>
    <t>Value</t>
  </si>
  <si>
    <t>Conversion to dwelling equivalent</t>
  </si>
  <si>
    <t>Non-self-contained Accommodation</t>
  </si>
  <si>
    <t>All other non-self-contained accommodation</t>
  </si>
  <si>
    <t>Is the development located within the boundary of an Area Strategy within the Wandsworth Local Plan (2023-2038)?</t>
  </si>
  <si>
    <t>Is the development located within the boundary of a Site Allocation within the Wandsworth Local Plan (2023-2038)?</t>
  </si>
  <si>
    <t>What is the predominant use of the development?</t>
  </si>
  <si>
    <r>
      <t xml:space="preserve">Find Area Strategies and Site Allocations from the </t>
    </r>
    <r>
      <rPr>
        <i/>
        <u/>
        <sz val="10"/>
        <color theme="3" tint="0.59999389629810485"/>
        <rFont val="Tahoma"/>
        <family val="2"/>
        <scheme val="minor"/>
      </rPr>
      <t>Council's interactive map</t>
    </r>
  </si>
  <si>
    <t>Arts and Culture Action Plan Commuted Sum</t>
  </si>
  <si>
    <t>Arts and Culture Infrastructure Contribution</t>
  </si>
  <si>
    <t>Local Employment Contribution (smaller sites)</t>
  </si>
  <si>
    <t>Supplementary Planning Document Version: December 2025</t>
  </si>
  <si>
    <t>Calculator Version Date: 08/12/2025</t>
  </si>
  <si>
    <t>Refer to Requirements Summary and Planning Obligations SPD</t>
  </si>
  <si>
    <t>Refer to the Planning Obligations SPD. The London Trees Officers Association publish a separate CAVAT calculator which may be used in relevant circumstances</t>
  </si>
  <si>
    <t>Commuted sum to the Council's Carbon Offset Fund</t>
  </si>
  <si>
    <t>Financial contribution towards post-construction monitoring for the buildings’ energy efficiency</t>
  </si>
  <si>
    <t>A financial contribution will only be accepted in exceptional circumstances where the developer has provided robust evidence showing that it is not appropriate or feasible to deliver new open or affordable workspace onsite.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</si>
</sst>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quot;£&quot;#,##0"/>
    <numFmt numFmtId="165" formatCode="&quot;£&quot;#,##0.00"/>
    <numFmt numFmtId="166" formatCode="#,##0.0"/>
    <numFmt numFmtId="167" formatCode="0.0"/>
    <numFmt numFmtId="168" formatCode="0.0%"/>
    <numFmt numFmtId="169" formatCode="#,##0&quot;m²&quot;"/>
  </numFmts>
  <fonts count="51" x14ac:knownFonts="1">
    <font>
      <sz val="10"/>
      <color theme="1"/>
      <name val="Tahoma"/>
      <family val="2"/>
      <scheme val="minor"/>
    </font>
    <font>
      <sz val="10"/>
      <color theme="1"/>
      <name val="Arial"/>
      <family val="2"/>
    </font>
    <font>
      <sz val="10"/>
      <color theme="1"/>
      <name val="Arial"/>
      <family val="2"/>
    </font>
    <font>
      <b/>
      <sz val="10"/>
      <color theme="0"/>
      <name val="Arial"/>
      <family val="2"/>
    </font>
    <font>
      <b/>
      <sz val="10"/>
      <color theme="1"/>
      <name val="Arial"/>
      <family val="2"/>
    </font>
    <font>
      <b/>
      <sz val="9"/>
      <color theme="3"/>
      <name val="Arial"/>
      <family val="2"/>
    </font>
    <font>
      <sz val="10"/>
      <color rgb="FF006100"/>
      <name val="Arial"/>
      <family val="2"/>
    </font>
    <font>
      <sz val="10"/>
      <color rgb="FF9C0006"/>
      <name val="Arial"/>
      <family val="2"/>
    </font>
    <font>
      <sz val="10"/>
      <color rgb="FF9C6500"/>
      <name val="Arial"/>
      <family val="2"/>
    </font>
    <font>
      <sz val="10"/>
      <color rgb="FF3F3F76"/>
      <name val="Arial"/>
      <family val="2"/>
    </font>
    <font>
      <b/>
      <sz val="10"/>
      <color rgb="FF3F3F3F"/>
      <name val="Arial"/>
      <family val="2"/>
    </font>
    <font>
      <b/>
      <sz val="10"/>
      <color rgb="FFFA7D00"/>
      <name val="Arial"/>
      <family val="2"/>
    </font>
    <font>
      <sz val="10"/>
      <color rgb="FFFA7D00"/>
      <name val="Arial"/>
      <family val="2"/>
    </font>
    <font>
      <sz val="10"/>
      <color rgb="FFFF0000"/>
      <name val="Arial"/>
      <family val="2"/>
    </font>
    <font>
      <b/>
      <sz val="10"/>
      <name val="Arial"/>
      <family val="2"/>
    </font>
    <font>
      <sz val="8"/>
      <name val="Arial"/>
      <family val="2"/>
    </font>
    <font>
      <b/>
      <sz val="8"/>
      <name val="Arial"/>
      <family val="2"/>
    </font>
    <font>
      <b/>
      <sz val="8"/>
      <color indexed="10"/>
      <name val="Arial"/>
      <family val="2"/>
    </font>
    <font>
      <b/>
      <sz val="16"/>
      <name val="Arial"/>
      <family val="2"/>
    </font>
    <font>
      <sz val="16"/>
      <name val="Arial"/>
      <family val="2"/>
    </font>
    <font>
      <sz val="14"/>
      <name val="Arial"/>
      <family val="2"/>
    </font>
    <font>
      <sz val="14"/>
      <color indexed="16"/>
      <name val="Arial"/>
      <family val="2"/>
    </font>
    <font>
      <u/>
      <sz val="14"/>
      <color indexed="16"/>
      <name val="Arial"/>
      <family val="2"/>
    </font>
    <font>
      <b/>
      <sz val="14"/>
      <color indexed="18"/>
      <name val="Arial"/>
      <family val="2"/>
    </font>
    <font>
      <b/>
      <sz val="14"/>
      <name val="Arial"/>
      <family val="2"/>
    </font>
    <font>
      <b/>
      <sz val="14"/>
      <color indexed="16"/>
      <name val="Arial"/>
      <family val="2"/>
    </font>
    <font>
      <sz val="12"/>
      <name val="Arial"/>
      <family val="2"/>
    </font>
    <font>
      <b/>
      <sz val="18"/>
      <color indexed="16"/>
      <name val="Arial"/>
      <family val="2"/>
    </font>
    <font>
      <sz val="10"/>
      <name val="Arial"/>
      <family val="2"/>
    </font>
    <font>
      <sz val="10"/>
      <color theme="1"/>
      <name val="Tahoma"/>
      <family val="2"/>
      <scheme val="minor"/>
    </font>
    <font>
      <b/>
      <sz val="15"/>
      <color theme="3"/>
      <name val="Tahoma"/>
      <family val="2"/>
      <scheme val="major"/>
    </font>
    <font>
      <u/>
      <sz val="10"/>
      <color theme="10"/>
      <name val="Tahoma"/>
      <family val="2"/>
      <scheme val="minor"/>
    </font>
    <font>
      <u/>
      <sz val="10"/>
      <color theme="11"/>
      <name val="Tahoma"/>
      <family val="2"/>
      <scheme val="minor"/>
    </font>
    <font>
      <b/>
      <sz val="10"/>
      <color theme="1"/>
      <name val="Tahoma"/>
      <family val="2"/>
      <scheme val="major"/>
    </font>
    <font>
      <b/>
      <sz val="13"/>
      <color theme="3"/>
      <name val="Tahoma"/>
      <family val="2"/>
      <scheme val="major"/>
    </font>
    <font>
      <i/>
      <sz val="10"/>
      <color rgb="FF7F7F7F"/>
      <name val="Tahoma"/>
      <family val="2"/>
      <scheme val="minor"/>
    </font>
    <font>
      <b/>
      <u/>
      <sz val="10"/>
      <color theme="10"/>
      <name val="Tahoma"/>
      <family val="2"/>
      <scheme val="minor"/>
    </font>
    <font>
      <b/>
      <sz val="10"/>
      <color theme="1"/>
      <name val="Tahoma"/>
      <family val="2"/>
      <scheme val="minor"/>
    </font>
    <font>
      <b/>
      <sz val="17"/>
      <color theme="3"/>
      <name val="Tahoma"/>
      <family val="2"/>
      <scheme val="major"/>
    </font>
    <font>
      <b/>
      <sz val="10"/>
      <color theme="0"/>
      <name val="Tahoma"/>
      <family val="2"/>
      <scheme val="minor"/>
    </font>
    <font>
      <sz val="10"/>
      <color theme="0"/>
      <name val="Tahoma"/>
      <family val="2"/>
      <scheme val="minor"/>
    </font>
    <font>
      <b/>
      <sz val="10"/>
      <color theme="3"/>
      <name val="Tahoma"/>
      <family val="2"/>
      <scheme val="major"/>
    </font>
    <font>
      <b/>
      <sz val="10"/>
      <color theme="0"/>
      <name val="Tahoma"/>
      <family val="2"/>
      <scheme val="major"/>
    </font>
    <font>
      <i/>
      <sz val="10"/>
      <color theme="1"/>
      <name val="Tahoma"/>
      <family val="2"/>
      <scheme val="minor"/>
    </font>
    <font>
      <sz val="10"/>
      <color rgb="FF7F7F7F"/>
      <name val="Tahoma"/>
      <family val="2"/>
      <scheme val="minor"/>
    </font>
    <font>
      <sz val="10"/>
      <color theme="0"/>
      <name val="Tahoma"/>
      <family val="2"/>
      <scheme val="major"/>
    </font>
    <font>
      <b/>
      <sz val="12"/>
      <color theme="3"/>
      <name val="Tahoma"/>
      <family val="2"/>
      <scheme val="major"/>
    </font>
    <font>
      <i/>
      <u/>
      <sz val="10"/>
      <color theme="3" tint="0.59999389629810485"/>
      <name val="Tahoma"/>
      <family val="2"/>
      <scheme val="minor"/>
    </font>
    <font>
      <sz val="10"/>
      <color rgb="FFFF0000"/>
      <name val="Tahoma"/>
      <family val="2"/>
      <scheme val="minor"/>
    </font>
    <font>
      <b/>
      <u/>
      <sz val="10"/>
      <name val="Tahoma"/>
      <family val="2"/>
      <scheme val="minor"/>
    </font>
    <font>
      <i/>
      <sz val="10"/>
      <color theme="0" tint="-0.499984740745262"/>
      <name val="Tahoma"/>
      <family val="2"/>
      <scheme val="minor"/>
    </font>
  </fonts>
  <fills count="17">
    <fill>
      <patternFill patternType="none"/>
    </fill>
    <fill>
      <patternFill patternType="gray125"/>
    </fill>
    <fill>
      <patternFill patternType="solid">
        <fgColor theme="0"/>
        <bgColor indexed="64"/>
      </patternFill>
    </fill>
    <fill>
      <patternFill patternType="solid">
        <fgColor theme="0" tint="-0.499984740745262"/>
        <bgColor indexed="64"/>
      </patternFill>
    </fill>
    <fill>
      <patternFill patternType="solid">
        <fgColor theme="5"/>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indexed="9"/>
        <bgColor indexed="64"/>
      </patternFill>
    </fill>
    <fill>
      <patternFill patternType="solid">
        <fgColor indexed="22"/>
        <bgColor indexed="64"/>
      </patternFill>
    </fill>
    <fill>
      <patternFill patternType="solid">
        <fgColor theme="8"/>
        <bgColor indexed="64"/>
      </patternFill>
    </fill>
    <fill>
      <patternFill patternType="solid">
        <fgColor theme="6"/>
        <bgColor indexed="64"/>
      </patternFill>
    </fill>
    <fill>
      <patternFill patternType="solid">
        <fgColor theme="0" tint="-4.9989318521683403E-2"/>
        <bgColor indexed="64"/>
      </patternFill>
    </fill>
  </fills>
  <borders count="50">
    <border>
      <left/>
      <right/>
      <top/>
      <bottom/>
      <diagonal/>
    </border>
    <border>
      <left/>
      <right/>
      <top style="medium">
        <color auto="1"/>
      </top>
      <bottom style="medium">
        <color auto="1"/>
      </bottom>
      <diagonal/>
    </border>
    <border>
      <left/>
      <right/>
      <top style="medium">
        <color auto="1"/>
      </top>
      <bottom/>
      <diagonal/>
    </border>
    <border>
      <left/>
      <right/>
      <top/>
      <bottom style="medium">
        <color auto="1"/>
      </bottom>
      <diagonal/>
    </border>
    <border>
      <left/>
      <right/>
      <top style="thin">
        <color auto="1"/>
      </top>
      <bottom style="medium">
        <color auto="1"/>
      </bottom>
      <diagonal/>
    </border>
    <border>
      <left/>
      <right/>
      <top style="thin">
        <color auto="1"/>
      </top>
      <bottom/>
      <diagonal/>
    </border>
    <border>
      <left/>
      <right/>
      <top style="medium">
        <color auto="1"/>
      </top>
      <bottom style="thin">
        <color auto="1"/>
      </bottom>
      <diagonal/>
    </border>
    <border>
      <left/>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auto="1"/>
      </bottom>
      <diagonal/>
    </border>
    <border>
      <left/>
      <right style="thin">
        <color auto="1"/>
      </right>
      <top/>
      <bottom style="thin">
        <color auto="1"/>
      </bottom>
      <diagonal/>
    </border>
    <border>
      <left/>
      <right style="thin">
        <color auto="1"/>
      </right>
      <top style="medium">
        <color auto="1"/>
      </top>
      <bottom style="thin">
        <color auto="1"/>
      </bottom>
      <diagonal/>
    </border>
    <border>
      <left/>
      <right style="thin">
        <color auto="1"/>
      </right>
      <top style="thin">
        <color auto="1"/>
      </top>
      <bottom style="medium">
        <color auto="1"/>
      </bottom>
      <diagonal/>
    </border>
    <border>
      <left/>
      <right/>
      <top style="thick">
        <color auto="1"/>
      </top>
      <bottom/>
      <diagonal/>
    </border>
    <border>
      <left style="thin">
        <color auto="1"/>
      </left>
      <right/>
      <top style="thick">
        <color auto="1"/>
      </top>
      <bottom/>
      <diagonal/>
    </border>
    <border>
      <left/>
      <right style="thin">
        <color auto="1"/>
      </right>
      <top style="thick">
        <color auto="1"/>
      </top>
      <bottom/>
      <diagonal/>
    </border>
    <border>
      <left/>
      <right/>
      <top/>
      <bottom style="thick">
        <color auto="1"/>
      </bottom>
      <diagonal/>
    </border>
    <border>
      <left style="thin">
        <color auto="1"/>
      </left>
      <right/>
      <top/>
      <bottom style="thick">
        <color auto="1"/>
      </bottom>
      <diagonal/>
    </border>
    <border>
      <left/>
      <right style="thin">
        <color auto="1"/>
      </right>
      <top/>
      <bottom style="thick">
        <color auto="1"/>
      </bottom>
      <diagonal/>
    </border>
    <border>
      <left/>
      <right/>
      <top style="medium">
        <color auto="1"/>
      </top>
      <bottom style="thick">
        <color auto="1"/>
      </bottom>
      <diagonal/>
    </border>
    <border>
      <left/>
      <right/>
      <top/>
      <bottom style="thick">
        <color theme="4"/>
      </bottom>
      <diagonal/>
    </border>
    <border>
      <left style="thin">
        <color theme="3"/>
      </left>
      <right/>
      <top style="thin">
        <color theme="3"/>
      </top>
      <bottom/>
      <diagonal/>
    </border>
    <border>
      <left/>
      <right/>
      <top style="thin">
        <color theme="3"/>
      </top>
      <bottom/>
      <diagonal/>
    </border>
    <border>
      <left/>
      <right style="thin">
        <color theme="3"/>
      </right>
      <top style="thin">
        <color theme="3"/>
      </top>
      <bottom/>
      <diagonal/>
    </border>
    <border>
      <left style="thin">
        <color theme="3"/>
      </left>
      <right/>
      <top/>
      <bottom/>
      <diagonal/>
    </border>
    <border>
      <left/>
      <right style="thin">
        <color theme="3"/>
      </right>
      <top/>
      <bottom/>
      <diagonal/>
    </border>
    <border>
      <left style="thin">
        <color theme="3"/>
      </left>
      <right/>
      <top/>
      <bottom style="thick">
        <color theme="4"/>
      </bottom>
      <diagonal/>
    </border>
    <border>
      <left/>
      <right style="thin">
        <color theme="3"/>
      </right>
      <top/>
      <bottom style="thick">
        <color theme="4"/>
      </bottom>
      <diagonal/>
    </border>
    <border>
      <left style="thin">
        <color theme="3"/>
      </left>
      <right/>
      <top/>
      <bottom style="thin">
        <color theme="3"/>
      </bottom>
      <diagonal/>
    </border>
    <border>
      <left/>
      <right/>
      <top/>
      <bottom style="thin">
        <color theme="3"/>
      </bottom>
      <diagonal/>
    </border>
    <border>
      <left/>
      <right style="thin">
        <color theme="3"/>
      </right>
      <top/>
      <bottom style="thin">
        <color theme="3"/>
      </bottom>
      <diagonal/>
    </border>
    <border>
      <left/>
      <right style="thin">
        <color auto="1"/>
      </right>
      <top style="medium">
        <color auto="1"/>
      </top>
      <bottom style="medium">
        <color auto="1"/>
      </bottom>
      <diagonal/>
    </border>
    <border>
      <left/>
      <right/>
      <top style="thick">
        <color auto="1"/>
      </top>
      <bottom style="medium">
        <color auto="1"/>
      </bottom>
      <diagonal/>
    </border>
    <border>
      <left style="thin">
        <color theme="3"/>
      </left>
      <right/>
      <top/>
      <bottom style="thin">
        <color indexed="64"/>
      </bottom>
      <diagonal/>
    </border>
    <border>
      <left/>
      <right style="thin">
        <color theme="3"/>
      </right>
      <top/>
      <bottom style="thin">
        <color indexed="64"/>
      </bottom>
      <diagonal/>
    </border>
    <border>
      <left/>
      <right/>
      <top/>
      <bottom style="thin">
        <color theme="1"/>
      </bottom>
      <diagonal/>
    </border>
    <border>
      <left/>
      <right/>
      <top style="thin">
        <color theme="1"/>
      </top>
      <bottom style="thin">
        <color theme="1"/>
      </bottom>
      <diagonal/>
    </border>
    <border>
      <left/>
      <right/>
      <top/>
      <bottom style="medium">
        <color theme="1"/>
      </bottom>
      <diagonal/>
    </border>
  </borders>
  <cellStyleXfs count="31">
    <xf numFmtId="0" fontId="0" fillId="2" borderId="0"/>
    <xf numFmtId="0" fontId="38" fillId="0" borderId="0" applyNumberFormat="0" applyFill="0" applyBorder="0" applyAlignment="0" applyProtection="0"/>
    <xf numFmtId="0" fontId="30" fillId="0" borderId="32" applyNumberFormat="0" applyFill="0" applyAlignment="0" applyProtection="0"/>
    <xf numFmtId="0" fontId="34" fillId="0" borderId="0" applyNumberFormat="0" applyFill="0" applyAlignment="0" applyProtection="0"/>
    <xf numFmtId="0" fontId="41" fillId="0" borderId="0" applyNumberFormat="0" applyFill="0" applyAlignment="0" applyProtection="0"/>
    <xf numFmtId="0" fontId="35" fillId="0" borderId="0" applyNumberFormat="0" applyFill="0" applyBorder="0" applyAlignment="0" applyProtection="0">
      <alignment vertical="center" wrapText="1"/>
    </xf>
    <xf numFmtId="0" fontId="1" fillId="14" borderId="0" applyNumberFormat="0" applyFont="0" applyAlignment="0">
      <protection locked="0"/>
    </xf>
    <xf numFmtId="0" fontId="31" fillId="0" borderId="0" applyNumberFormat="0" applyFill="0" applyBorder="0" applyAlignment="0">
      <protection locked="0"/>
    </xf>
    <xf numFmtId="0" fontId="32" fillId="0" borderId="0" applyNumberFormat="0" applyFill="0" applyBorder="0" applyAlignment="0">
      <protection locked="0"/>
    </xf>
    <xf numFmtId="0" fontId="40" fillId="3" borderId="0" applyNumberFormat="0" applyBorder="0" applyAlignment="0" applyProtection="0">
      <alignment horizontal="left"/>
    </xf>
    <xf numFmtId="0" fontId="42" fillId="4" borderId="0" applyNumberFormat="0" applyBorder="0" applyAlignment="0" applyProtection="0"/>
    <xf numFmtId="0" fontId="5" fillId="0" borderId="0" applyNumberFormat="0" applyFill="0" applyBorder="0" applyAlignment="0" applyProtection="0"/>
    <xf numFmtId="0" fontId="6" fillId="5" borderId="0" applyNumberFormat="0" applyBorder="0" applyAlignment="0" applyProtection="0"/>
    <xf numFmtId="0" fontId="7" fillId="6" borderId="0" applyNumberFormat="0" applyBorder="0" applyAlignment="0" applyProtection="0"/>
    <xf numFmtId="0" fontId="8" fillId="7" borderId="0" applyNumberFormat="0" applyBorder="0" applyAlignment="0" applyProtection="0"/>
    <xf numFmtId="0" fontId="9" fillId="8" borderId="8" applyNumberFormat="0" applyAlignment="0" applyProtection="0"/>
    <xf numFmtId="0" fontId="10" fillId="9" borderId="9" applyNumberFormat="0" applyAlignment="0" applyProtection="0"/>
    <xf numFmtId="0" fontId="11" fillId="9" borderId="8" applyNumberFormat="0" applyAlignment="0" applyProtection="0"/>
    <xf numFmtId="0" fontId="12" fillId="0" borderId="10" applyNumberFormat="0" applyFill="0" applyAlignment="0" applyProtection="0"/>
    <xf numFmtId="0" fontId="3" fillId="10" borderId="11" applyNumberFormat="0" applyAlignment="0" applyProtection="0"/>
    <xf numFmtId="0" fontId="13" fillId="0" borderId="0" applyNumberFormat="0" applyFill="0" applyBorder="0" applyAlignment="0" applyProtection="0"/>
    <xf numFmtId="0" fontId="2" fillId="11" borderId="12" applyNumberFormat="0" applyFont="0" applyAlignment="0" applyProtection="0"/>
    <xf numFmtId="0" fontId="40" fillId="4" borderId="0" applyBorder="0" applyAlignment="0" applyProtection="0"/>
    <xf numFmtId="0" fontId="37" fillId="2" borderId="0" applyNumberFormat="0" applyFill="0" applyBorder="0" applyAlignment="0" applyProtection="0"/>
    <xf numFmtId="0" fontId="2" fillId="15" borderId="0" applyNumberFormat="0" applyFont="0" applyBorder="0" applyAlignment="0" applyProtection="0">
      <alignment vertical="top"/>
    </xf>
    <xf numFmtId="0" fontId="2" fillId="2" borderId="2" applyNumberFormat="0" applyFont="0" applyFill="0" applyProtection="0">
      <alignment horizontal="left" vertical="center" wrapText="1"/>
    </xf>
    <xf numFmtId="0" fontId="2" fillId="2" borderId="0" applyNumberFormat="0" applyFont="0" applyFill="0" applyBorder="0" applyProtection="0">
      <alignment horizontal="left" vertical="center" wrapText="1" indent="1"/>
    </xf>
    <xf numFmtId="0" fontId="2" fillId="2" borderId="0" applyNumberFormat="0" applyFont="0" applyFill="0" applyBorder="0" applyProtection="0">
      <alignment horizontal="left" vertical="center" wrapText="1" indent="2"/>
    </xf>
    <xf numFmtId="0" fontId="33" fillId="2" borderId="1" applyNumberFormat="0" applyFill="0" applyProtection="0">
      <alignment horizontal="left" vertical="center" wrapText="1"/>
    </xf>
    <xf numFmtId="3" fontId="39" fillId="3" borderId="1" applyNumberFormat="0" applyBorder="0" applyAlignment="0" applyProtection="0"/>
    <xf numFmtId="9" fontId="29" fillId="0" borderId="0" applyFont="0" applyFill="0" applyBorder="0" applyAlignment="0" applyProtection="0"/>
  </cellStyleXfs>
  <cellXfs count="456">
    <xf numFmtId="0" fontId="0" fillId="2" borderId="0" xfId="0"/>
    <xf numFmtId="0" fontId="0" fillId="2" borderId="0" xfId="0" applyAlignment="1">
      <alignment horizontal="right"/>
    </xf>
    <xf numFmtId="0" fontId="4" fillId="2" borderId="0" xfId="0" applyFont="1"/>
    <xf numFmtId="0" fontId="34" fillId="2" borderId="0" xfId="3" applyFill="1"/>
    <xf numFmtId="0" fontId="0" fillId="2" borderId="0" xfId="0" quotePrefix="1" applyAlignment="1">
      <alignment horizontal="left" vertical="center" indent="1"/>
    </xf>
    <xf numFmtId="0" fontId="0" fillId="2" borderId="0" xfId="0" applyAlignment="1">
      <alignment vertical="top" wrapText="1"/>
    </xf>
    <xf numFmtId="0" fontId="0" fillId="2" borderId="0" xfId="0" applyAlignment="1">
      <alignment vertical="top"/>
    </xf>
    <xf numFmtId="0" fontId="35" fillId="2" borderId="0" xfId="5" applyFill="1" applyAlignment="1">
      <alignment vertical="center" wrapText="1"/>
    </xf>
    <xf numFmtId="0" fontId="14" fillId="2" borderId="0" xfId="0" applyFont="1"/>
    <xf numFmtId="0" fontId="15" fillId="2" borderId="0" xfId="0" applyFont="1"/>
    <xf numFmtId="0" fontId="16" fillId="2" borderId="0" xfId="0" applyFont="1"/>
    <xf numFmtId="0" fontId="15" fillId="0" borderId="0" xfId="0" applyFont="1" applyFill="1"/>
    <xf numFmtId="0" fontId="16" fillId="0" borderId="17" xfId="0" applyFont="1" applyFill="1" applyBorder="1"/>
    <xf numFmtId="0" fontId="16" fillId="0" borderId="17" xfId="0" applyFont="1" applyFill="1" applyBorder="1" applyAlignment="1">
      <alignment horizontal="right"/>
    </xf>
    <xf numFmtId="0" fontId="16" fillId="0" borderId="18" xfId="0" applyFont="1" applyFill="1" applyBorder="1"/>
    <xf numFmtId="4" fontId="15" fillId="0" borderId="19" xfId="0" applyNumberFormat="1" applyFont="1" applyFill="1" applyBorder="1"/>
    <xf numFmtId="0" fontId="16" fillId="0" borderId="18" xfId="0" quotePrefix="1" applyFont="1" applyFill="1" applyBorder="1"/>
    <xf numFmtId="0" fontId="16" fillId="0" borderId="16" xfId="0" applyFont="1" applyFill="1" applyBorder="1"/>
    <xf numFmtId="4" fontId="16" fillId="0" borderId="17" xfId="0" applyNumberFormat="1" applyFont="1" applyFill="1" applyBorder="1"/>
    <xf numFmtId="2" fontId="16" fillId="0" borderId="17" xfId="0" applyNumberFormat="1" applyFont="1" applyFill="1" applyBorder="1"/>
    <xf numFmtId="0" fontId="16" fillId="0" borderId="0" xfId="0" applyFont="1" applyFill="1"/>
    <xf numFmtId="0" fontId="16" fillId="2" borderId="18" xfId="0" applyFont="1" applyBorder="1"/>
    <xf numFmtId="0" fontId="16" fillId="2" borderId="18" xfId="0" quotePrefix="1" applyFont="1" applyBorder="1"/>
    <xf numFmtId="0" fontId="16" fillId="2" borderId="16" xfId="0" applyFont="1" applyBorder="1"/>
    <xf numFmtId="0" fontId="16" fillId="2" borderId="17" xfId="0" applyFont="1" applyBorder="1"/>
    <xf numFmtId="4" fontId="16" fillId="2" borderId="17" xfId="0" applyNumberFormat="1" applyFont="1" applyBorder="1"/>
    <xf numFmtId="0" fontId="18" fillId="12" borderId="0" xfId="0" applyFont="1" applyFill="1"/>
    <xf numFmtId="0" fontId="19" fillId="2" borderId="0" xfId="0" applyFont="1"/>
    <xf numFmtId="0" fontId="19" fillId="12" borderId="0" xfId="0" applyFont="1" applyFill="1"/>
    <xf numFmtId="0" fontId="20" fillId="12" borderId="0" xfId="0" applyFont="1" applyFill="1"/>
    <xf numFmtId="0" fontId="21" fillId="12" borderId="0" xfId="0" applyFont="1" applyFill="1"/>
    <xf numFmtId="0" fontId="22" fillId="12" borderId="0" xfId="0" applyFont="1" applyFill="1"/>
    <xf numFmtId="0" fontId="23" fillId="12" borderId="0" xfId="0" applyFont="1" applyFill="1"/>
    <xf numFmtId="0" fontId="23" fillId="12" borderId="0" xfId="0" applyFont="1" applyFill="1" applyAlignment="1">
      <alignment horizontal="center"/>
    </xf>
    <xf numFmtId="9" fontId="23" fillId="12" borderId="0" xfId="0" applyNumberFormat="1" applyFont="1" applyFill="1" applyAlignment="1">
      <alignment horizontal="center"/>
    </xf>
    <xf numFmtId="0" fontId="24" fillId="13" borderId="17" xfId="0" applyFont="1" applyFill="1" applyBorder="1"/>
    <xf numFmtId="0" fontId="20" fillId="13" borderId="17" xfId="0" applyFont="1" applyFill="1" applyBorder="1"/>
    <xf numFmtId="0" fontId="24" fillId="13" borderId="17" xfId="0" applyFont="1" applyFill="1" applyBorder="1" applyAlignment="1">
      <alignment horizontal="right"/>
    </xf>
    <xf numFmtId="0" fontId="20" fillId="13" borderId="17" xfId="0" applyFont="1" applyFill="1" applyBorder="1" applyAlignment="1">
      <alignment horizontal="left"/>
    </xf>
    <xf numFmtId="0" fontId="20" fillId="12" borderId="0" xfId="0" applyFont="1" applyFill="1" applyAlignment="1">
      <alignment horizontal="left"/>
    </xf>
    <xf numFmtId="0" fontId="26" fillId="12" borderId="0" xfId="0" applyFont="1" applyFill="1"/>
    <xf numFmtId="3" fontId="18" fillId="13" borderId="17" xfId="0" applyNumberFormat="1" applyFont="1" applyFill="1" applyBorder="1"/>
    <xf numFmtId="0" fontId="18" fillId="13" borderId="17" xfId="0" applyFont="1" applyFill="1" applyBorder="1"/>
    <xf numFmtId="2" fontId="19" fillId="2" borderId="17" xfId="0" applyNumberFormat="1" applyFont="1" applyBorder="1"/>
    <xf numFmtId="0" fontId="18" fillId="13" borderId="17" xfId="0" quotePrefix="1" applyFont="1" applyFill="1" applyBorder="1"/>
    <xf numFmtId="0" fontId="18" fillId="13" borderId="17" xfId="0" applyFont="1" applyFill="1" applyBorder="1" applyAlignment="1">
      <alignment horizontal="right"/>
    </xf>
    <xf numFmtId="0" fontId="18" fillId="13" borderId="17" xfId="0" applyFont="1" applyFill="1" applyBorder="1" applyAlignment="1">
      <alignment horizontal="left"/>
    </xf>
    <xf numFmtId="2" fontId="19" fillId="0" borderId="17" xfId="0" applyNumberFormat="1" applyFont="1" applyFill="1" applyBorder="1"/>
    <xf numFmtId="0" fontId="27" fillId="12" borderId="0" xfId="0" applyFont="1" applyFill="1" applyAlignment="1">
      <alignment horizontal="center"/>
    </xf>
    <xf numFmtId="0" fontId="16" fillId="2" borderId="17" xfId="0" applyFont="1" applyBorder="1" applyAlignment="1">
      <alignment horizontal="right"/>
    </xf>
    <xf numFmtId="3" fontId="21" fillId="0" borderId="17" xfId="0" applyNumberFormat="1" applyFont="1" applyFill="1" applyBorder="1" applyProtection="1">
      <protection locked="0"/>
    </xf>
    <xf numFmtId="0" fontId="0" fillId="2" borderId="0" xfId="0" applyAlignment="1">
      <alignment horizontal="center"/>
    </xf>
    <xf numFmtId="0" fontId="0" fillId="2" borderId="21" xfId="0" applyBorder="1"/>
    <xf numFmtId="0" fontId="0" fillId="2" borderId="5" xfId="0" applyBorder="1"/>
    <xf numFmtId="0" fontId="0" fillId="2" borderId="5" xfId="0" applyBorder="1" applyAlignment="1">
      <alignment vertical="center"/>
    </xf>
    <xf numFmtId="0" fontId="0" fillId="2" borderId="0" xfId="0" applyAlignment="1">
      <alignment horizontal="left"/>
    </xf>
    <xf numFmtId="0" fontId="0" fillId="2" borderId="7" xfId="0" applyBorder="1" applyAlignment="1">
      <alignment horizontal="left"/>
    </xf>
    <xf numFmtId="0" fontId="0" fillId="2" borderId="6" xfId="0" applyBorder="1" applyAlignment="1">
      <alignment horizontal="left"/>
    </xf>
    <xf numFmtId="0" fontId="0" fillId="2" borderId="4" xfId="0" applyBorder="1" applyAlignment="1">
      <alignment horizontal="left"/>
    </xf>
    <xf numFmtId="0" fontId="4" fillId="2" borderId="0" xfId="0" applyFont="1" applyAlignment="1">
      <alignment horizontal="left"/>
    </xf>
    <xf numFmtId="0" fontId="0" fillId="2" borderId="0" xfId="0" applyAlignment="1">
      <alignment horizontal="center" vertical="center"/>
    </xf>
    <xf numFmtId="0" fontId="33" fillId="2" borderId="1" xfId="28">
      <alignment horizontal="left" vertical="center" wrapText="1"/>
    </xf>
    <xf numFmtId="0" fontId="4" fillId="2" borderId="1" xfId="0" applyFont="1" applyBorder="1" applyAlignment="1">
      <alignment horizontal="center"/>
    </xf>
    <xf numFmtId="0" fontId="31" fillId="2" borderId="7" xfId="7" applyFill="1" applyBorder="1" applyAlignment="1">
      <alignment horizontal="center"/>
      <protection locked="0"/>
    </xf>
    <xf numFmtId="0" fontId="31" fillId="2" borderId="5" xfId="7" applyFill="1" applyBorder="1" applyAlignment="1">
      <alignment horizontal="center"/>
      <protection locked="0"/>
    </xf>
    <xf numFmtId="0" fontId="31" fillId="2" borderId="2" xfId="7" applyFill="1" applyBorder="1" applyAlignment="1">
      <alignment horizontal="center"/>
      <protection locked="0"/>
    </xf>
    <xf numFmtId="0" fontId="31" fillId="2" borderId="4" xfId="7" applyFill="1" applyBorder="1" applyAlignment="1">
      <alignment horizontal="center" vertical="center"/>
      <protection locked="0"/>
    </xf>
    <xf numFmtId="3" fontId="0" fillId="14" borderId="7" xfId="6" applyNumberFormat="1" applyFont="1" applyBorder="1">
      <protection locked="0"/>
    </xf>
    <xf numFmtId="3" fontId="0" fillId="14" borderId="6" xfId="6" applyNumberFormat="1" applyFont="1" applyBorder="1">
      <protection locked="0"/>
    </xf>
    <xf numFmtId="0" fontId="0" fillId="2" borderId="6" xfId="0" applyBorder="1"/>
    <xf numFmtId="0" fontId="4" fillId="2" borderId="1" xfId="0" applyFont="1" applyBorder="1"/>
    <xf numFmtId="3" fontId="0" fillId="14" borderId="5" xfId="6" applyNumberFormat="1" applyFont="1" applyBorder="1">
      <protection locked="0"/>
    </xf>
    <xf numFmtId="3" fontId="0" fillId="14" borderId="21" xfId="6" applyNumberFormat="1" applyFont="1" applyBorder="1">
      <protection locked="0"/>
    </xf>
    <xf numFmtId="0" fontId="0" fillId="2" borderId="33" xfId="0" applyBorder="1"/>
    <xf numFmtId="0" fontId="0" fillId="2" borderId="34" xfId="0" applyBorder="1"/>
    <xf numFmtId="0" fontId="0" fillId="2" borderId="35" xfId="0" applyBorder="1"/>
    <xf numFmtId="0" fontId="0" fillId="2" borderId="36" xfId="0" applyBorder="1"/>
    <xf numFmtId="0" fontId="0" fillId="2" borderId="37" xfId="0" applyBorder="1"/>
    <xf numFmtId="0" fontId="30" fillId="2" borderId="38" xfId="2" applyFill="1" applyBorder="1"/>
    <xf numFmtId="0" fontId="30" fillId="2" borderId="32" xfId="2" applyFill="1"/>
    <xf numFmtId="0" fontId="30" fillId="2" borderId="39" xfId="2" applyFill="1" applyBorder="1"/>
    <xf numFmtId="0" fontId="0" fillId="2" borderId="0" xfId="0" quotePrefix="1"/>
    <xf numFmtId="0" fontId="37" fillId="2" borderId="0" xfId="23" applyFill="1" applyBorder="1"/>
    <xf numFmtId="0" fontId="37" fillId="2" borderId="0" xfId="23" quotePrefix="1" applyFill="1" applyBorder="1"/>
    <xf numFmtId="0" fontId="0" fillId="2" borderId="40" xfId="0" applyBorder="1"/>
    <xf numFmtId="0" fontId="0" fillId="2" borderId="41" xfId="0" applyBorder="1"/>
    <xf numFmtId="0" fontId="0" fillId="2" borderId="42" xfId="0" applyBorder="1"/>
    <xf numFmtId="0" fontId="30" fillId="2" borderId="32" xfId="2" applyFill="1" applyAlignment="1"/>
    <xf numFmtId="0" fontId="0" fillId="2" borderId="34" xfId="0" applyBorder="1" applyAlignment="1">
      <alignment horizontal="center"/>
    </xf>
    <xf numFmtId="0" fontId="30" fillId="2" borderId="32" xfId="2" applyFill="1" applyAlignment="1">
      <alignment horizontal="left"/>
    </xf>
    <xf numFmtId="0" fontId="0" fillId="2" borderId="0" xfId="0" quotePrefix="1" applyAlignment="1">
      <alignment horizontal="left" vertical="top"/>
    </xf>
    <xf numFmtId="0" fontId="0" fillId="2" borderId="0" xfId="0" applyAlignment="1">
      <alignment horizontal="left" vertical="top"/>
    </xf>
    <xf numFmtId="0" fontId="0" fillId="2" borderId="41" xfId="0" applyBorder="1" applyAlignment="1">
      <alignment horizontal="center"/>
    </xf>
    <xf numFmtId="0" fontId="34" fillId="2" borderId="34" xfId="3" applyFill="1" applyBorder="1" applyAlignment="1">
      <alignment horizontal="left" vertical="top"/>
    </xf>
    <xf numFmtId="0" fontId="0" fillId="2" borderId="34" xfId="0" applyBorder="1" applyAlignment="1">
      <alignment vertical="top" wrapText="1"/>
    </xf>
    <xf numFmtId="0" fontId="34" fillId="2" borderId="34" xfId="3" quotePrefix="1" applyFill="1" applyBorder="1" applyAlignment="1">
      <alignment horizontal="left" vertical="top"/>
    </xf>
    <xf numFmtId="0" fontId="34" fillId="2" borderId="34" xfId="3" applyFill="1" applyBorder="1" applyAlignment="1">
      <alignment vertical="top" wrapText="1"/>
    </xf>
    <xf numFmtId="0" fontId="0" fillId="14" borderId="0" xfId="6" applyFont="1" applyAlignment="1">
      <alignment horizontal="left"/>
      <protection locked="0"/>
    </xf>
    <xf numFmtId="0" fontId="0" fillId="14" borderId="0" xfId="6" applyFont="1" applyAlignment="1">
      <alignment horizontal="left" vertical="top" wrapText="1"/>
      <protection locked="0"/>
    </xf>
    <xf numFmtId="14" fontId="0" fillId="14" borderId="0" xfId="6" applyNumberFormat="1" applyFont="1" applyAlignment="1">
      <alignment horizontal="left"/>
      <protection locked="0"/>
    </xf>
    <xf numFmtId="0" fontId="34" fillId="2" borderId="37" xfId="3" applyFill="1" applyBorder="1"/>
    <xf numFmtId="0" fontId="35" fillId="2" borderId="0" xfId="5" applyFill="1" applyBorder="1">
      <alignment vertical="center" wrapText="1"/>
    </xf>
    <xf numFmtId="0" fontId="41" fillId="2" borderId="0" xfId="4" applyFill="1"/>
    <xf numFmtId="0" fontId="35" fillId="2" borderId="0" xfId="5" applyFill="1" applyBorder="1" applyAlignment="1">
      <alignment vertical="center" wrapText="1"/>
    </xf>
    <xf numFmtId="0" fontId="35" fillId="2" borderId="0" xfId="5" quotePrefix="1" applyFill="1" applyBorder="1" applyAlignment="1">
      <alignment vertical="top" wrapText="1"/>
    </xf>
    <xf numFmtId="0" fontId="0" fillId="2" borderId="0" xfId="0" applyAlignment="1">
      <alignment vertical="center"/>
    </xf>
    <xf numFmtId="0" fontId="35" fillId="2" borderId="37" xfId="5" applyFill="1" applyBorder="1" applyAlignment="1">
      <alignment vertical="center" wrapText="1"/>
    </xf>
    <xf numFmtId="0" fontId="0" fillId="2" borderId="0" xfId="0" applyAlignment="1">
      <alignment vertical="center" wrapText="1"/>
    </xf>
    <xf numFmtId="0" fontId="41" fillId="2" borderId="0" xfId="4" applyFill="1" applyAlignment="1">
      <alignment vertical="center"/>
    </xf>
    <xf numFmtId="0" fontId="34" fillId="2" borderId="34" xfId="3" applyFill="1" applyBorder="1"/>
    <xf numFmtId="0" fontId="34" fillId="2" borderId="35" xfId="3" applyFill="1" applyBorder="1"/>
    <xf numFmtId="49" fontId="37" fillId="2" borderId="0" xfId="0" applyNumberFormat="1" applyFont="1" applyAlignment="1">
      <alignment horizontal="right" vertical="center" wrapText="1"/>
    </xf>
    <xf numFmtId="3" fontId="39" fillId="3" borderId="6" xfId="9" applyNumberFormat="1" applyFont="1" applyBorder="1" applyAlignment="1"/>
    <xf numFmtId="3" fontId="39" fillId="3" borderId="7" xfId="9" applyNumberFormat="1" applyFont="1" applyBorder="1" applyAlignment="1"/>
    <xf numFmtId="3" fontId="39" fillId="3" borderId="5" xfId="9" applyNumberFormat="1" applyFont="1" applyBorder="1" applyAlignment="1"/>
    <xf numFmtId="3" fontId="40" fillId="3" borderId="1" xfId="9" applyNumberFormat="1" applyBorder="1" applyAlignment="1"/>
    <xf numFmtId="3" fontId="39" fillId="3" borderId="1" xfId="9" applyNumberFormat="1" applyFont="1" applyBorder="1" applyAlignment="1"/>
    <xf numFmtId="3" fontId="39" fillId="3" borderId="21" xfId="9" applyNumberFormat="1" applyFont="1" applyBorder="1" applyAlignment="1"/>
    <xf numFmtId="3" fontId="39" fillId="3" borderId="3" xfId="9" applyNumberFormat="1" applyFont="1" applyBorder="1" applyAlignment="1"/>
    <xf numFmtId="0" fontId="40" fillId="3" borderId="0" xfId="9" applyBorder="1" applyAlignment="1"/>
    <xf numFmtId="0" fontId="41" fillId="2" borderId="0" xfId="4" applyFill="1" applyAlignment="1"/>
    <xf numFmtId="0" fontId="42" fillId="4" borderId="0" xfId="10" applyBorder="1" applyAlignment="1">
      <alignment horizontal="center"/>
    </xf>
    <xf numFmtId="0" fontId="40" fillId="4" borderId="0" xfId="22" applyBorder="1" applyAlignment="1">
      <alignment horizontal="center"/>
    </xf>
    <xf numFmtId="0" fontId="40" fillId="3" borderId="0" xfId="9" applyBorder="1" applyAlignment="1">
      <alignment horizontal="center"/>
    </xf>
    <xf numFmtId="0" fontId="0" fillId="2" borderId="37" xfId="0" quotePrefix="1" applyBorder="1"/>
    <xf numFmtId="0" fontId="0" fillId="14" borderId="0" xfId="6" applyFont="1">
      <protection locked="0"/>
    </xf>
    <xf numFmtId="0" fontId="42" fillId="4" borderId="0" xfId="10" applyBorder="1"/>
    <xf numFmtId="0" fontId="40" fillId="4" borderId="0" xfId="22" applyBorder="1"/>
    <xf numFmtId="0" fontId="35" fillId="2" borderId="0" xfId="5" applyFill="1" applyBorder="1" applyAlignment="1"/>
    <xf numFmtId="2" fontId="0" fillId="14" borderId="0" xfId="6" applyNumberFormat="1" applyFont="1">
      <protection locked="0"/>
    </xf>
    <xf numFmtId="0" fontId="28" fillId="15" borderId="0" xfId="24" applyFont="1" applyBorder="1" applyAlignment="1"/>
    <xf numFmtId="0" fontId="28" fillId="15" borderId="0" xfId="24" applyFont="1" applyBorder="1" applyAlignment="1">
      <alignment horizontal="center"/>
    </xf>
    <xf numFmtId="0" fontId="41" fillId="2" borderId="0" xfId="4" applyFill="1" applyAlignment="1">
      <alignment horizontal="left"/>
    </xf>
    <xf numFmtId="0" fontId="0" fillId="2" borderId="37" xfId="0" applyBorder="1" applyAlignment="1">
      <alignment horizontal="right"/>
    </xf>
    <xf numFmtId="0" fontId="0" fillId="2" borderId="34" xfId="0" applyBorder="1" applyAlignment="1">
      <alignment horizontal="center" vertical="center"/>
    </xf>
    <xf numFmtId="0" fontId="30" fillId="2" borderId="32" xfId="2" applyFill="1" applyAlignment="1">
      <alignment horizontal="center" vertical="center"/>
    </xf>
    <xf numFmtId="0" fontId="0" fillId="2" borderId="41" xfId="0" applyBorder="1" applyAlignment="1">
      <alignment horizontal="center" vertical="center"/>
    </xf>
    <xf numFmtId="0" fontId="0" fillId="2" borderId="7" xfId="0" applyBorder="1"/>
    <xf numFmtId="0" fontId="0" fillId="2" borderId="4" xfId="0" applyBorder="1"/>
    <xf numFmtId="165" fontId="40" fillId="3" borderId="0" xfId="9" applyNumberFormat="1" applyBorder="1" applyAlignment="1" applyProtection="1">
      <alignment horizontal="left"/>
    </xf>
    <xf numFmtId="164" fontId="40" fillId="3" borderId="0" xfId="9" applyNumberFormat="1" applyBorder="1" applyAlignment="1">
      <alignment horizontal="left"/>
    </xf>
    <xf numFmtId="0" fontId="42" fillId="4" borderId="0" xfId="10" applyBorder="1" applyAlignment="1">
      <alignment horizontal="center" vertical="center"/>
    </xf>
    <xf numFmtId="0" fontId="42" fillId="4" borderId="0" xfId="10" applyBorder="1" applyAlignment="1">
      <alignment horizontal="center" vertical="center" wrapText="1"/>
    </xf>
    <xf numFmtId="0" fontId="40" fillId="4" borderId="0" xfId="22" applyBorder="1" applyAlignment="1">
      <alignment vertical="center" wrapText="1"/>
    </xf>
    <xf numFmtId="0" fontId="40" fillId="4" borderId="0" xfId="22" applyBorder="1" applyAlignment="1">
      <alignment horizontal="center" vertical="center" wrapText="1"/>
    </xf>
    <xf numFmtId="164" fontId="40" fillId="3" borderId="0" xfId="9" applyNumberFormat="1" applyBorder="1" applyAlignment="1">
      <alignment horizontal="center"/>
    </xf>
    <xf numFmtId="0" fontId="0" fillId="2" borderId="0" xfId="0" applyAlignment="1">
      <alignment horizontal="left" indent="1"/>
    </xf>
    <xf numFmtId="0" fontId="42" fillId="4" borderId="0" xfId="10" applyBorder="1" applyAlignment="1">
      <alignment vertical="center"/>
    </xf>
    <xf numFmtId="0" fontId="37" fillId="2" borderId="0" xfId="23" applyFill="1" applyBorder="1" applyAlignment="1">
      <alignment horizontal="left"/>
    </xf>
    <xf numFmtId="0" fontId="42" fillId="4" borderId="0" xfId="10" applyBorder="1" applyAlignment="1"/>
    <xf numFmtId="0" fontId="0" fillId="2" borderId="3" xfId="0" applyBorder="1"/>
    <xf numFmtId="0" fontId="34" fillId="2" borderId="0" xfId="3" applyFill="1" applyAlignment="1"/>
    <xf numFmtId="0" fontId="40" fillId="3" borderId="0" xfId="9" applyBorder="1" applyAlignment="1">
      <alignment horizontal="left"/>
    </xf>
    <xf numFmtId="0" fontId="0" fillId="2" borderId="45" xfId="0" applyBorder="1"/>
    <xf numFmtId="0" fontId="0" fillId="2" borderId="46" xfId="0" applyBorder="1"/>
    <xf numFmtId="3" fontId="0" fillId="14" borderId="7" xfId="6" applyNumberFormat="1" applyFont="1" applyBorder="1" applyAlignment="1">
      <alignment horizontal="left"/>
      <protection locked="0"/>
    </xf>
    <xf numFmtId="3" fontId="0" fillId="14" borderId="4" xfId="6" applyNumberFormat="1" applyFont="1" applyBorder="1" applyAlignment="1">
      <alignment horizontal="left"/>
      <protection locked="0"/>
    </xf>
    <xf numFmtId="0" fontId="33" fillId="2" borderId="1" xfId="28" applyAlignment="1">
      <alignment vertical="center" wrapText="1"/>
    </xf>
    <xf numFmtId="0" fontId="43" fillId="2" borderId="7" xfId="0" applyFont="1" applyBorder="1"/>
    <xf numFmtId="0" fontId="35" fillId="2" borderId="0" xfId="5" applyFill="1" applyBorder="1" applyAlignment="1">
      <alignment horizontal="left" vertical="top" wrapText="1"/>
    </xf>
    <xf numFmtId="3" fontId="39" fillId="3" borderId="1" xfId="9" applyNumberFormat="1" applyFont="1" applyBorder="1" applyAlignment="1">
      <alignment horizontal="left"/>
    </xf>
    <xf numFmtId="0" fontId="0" fillId="2" borderId="0" xfId="0" applyAlignment="1">
      <alignment wrapText="1"/>
    </xf>
    <xf numFmtId="0" fontId="42" fillId="4" borderId="0" xfId="10" applyBorder="1" applyAlignment="1">
      <alignment horizontal="left"/>
    </xf>
    <xf numFmtId="166" fontId="0" fillId="14" borderId="0" xfId="6" applyNumberFormat="1" applyFont="1" applyAlignment="1">
      <alignment horizontal="center" vertical="center"/>
      <protection locked="0"/>
    </xf>
    <xf numFmtId="0" fontId="45" fillId="4" borderId="0" xfId="10" applyFont="1" applyBorder="1" applyAlignment="1">
      <alignment horizontal="left" wrapText="1"/>
    </xf>
    <xf numFmtId="0" fontId="45" fillId="4" borderId="0" xfId="10" applyFont="1" applyBorder="1" applyAlignment="1">
      <alignment horizontal="center" wrapText="1"/>
    </xf>
    <xf numFmtId="0" fontId="45" fillId="4" borderId="0" xfId="10" applyFont="1" applyBorder="1" applyAlignment="1">
      <alignment horizontal="left"/>
    </xf>
    <xf numFmtId="9" fontId="45" fillId="4" borderId="0" xfId="10" applyNumberFormat="1" applyFont="1" applyBorder="1" applyAlignment="1">
      <alignment horizontal="left"/>
    </xf>
    <xf numFmtId="0" fontId="45" fillId="4" borderId="0" xfId="10" applyFont="1" applyBorder="1" applyAlignment="1"/>
    <xf numFmtId="0" fontId="39" fillId="4" borderId="0" xfId="22" applyFont="1" applyBorder="1" applyAlignment="1">
      <alignment horizontal="center" vertical="center"/>
    </xf>
    <xf numFmtId="0" fontId="45" fillId="4" borderId="0" xfId="10" applyFont="1" applyBorder="1" applyAlignment="1">
      <alignment horizontal="left" vertical="center"/>
    </xf>
    <xf numFmtId="0" fontId="45" fillId="4" borderId="0" xfId="10" applyFont="1" applyBorder="1" applyAlignment="1">
      <alignment vertical="top"/>
    </xf>
    <xf numFmtId="3" fontId="45" fillId="4" borderId="0" xfId="10" applyNumberFormat="1" applyFont="1" applyBorder="1" applyAlignment="1">
      <alignment horizontal="left"/>
    </xf>
    <xf numFmtId="0" fontId="45" fillId="4" borderId="0" xfId="10" applyFont="1" applyBorder="1" applyAlignment="1">
      <alignment vertical="center"/>
    </xf>
    <xf numFmtId="168" fontId="0" fillId="14" borderId="0" xfId="30" applyNumberFormat="1" applyFont="1" applyFill="1" applyAlignment="1" applyProtection="1">
      <alignment horizontal="left"/>
      <protection locked="0"/>
    </xf>
    <xf numFmtId="9" fontId="45" fillId="4" borderId="0" xfId="30" applyFont="1" applyFill="1" applyBorder="1" applyAlignment="1">
      <alignment horizontal="left" vertical="center"/>
    </xf>
    <xf numFmtId="168" fontId="45" fillId="4" borderId="0" xfId="10" applyNumberFormat="1" applyFont="1" applyBorder="1" applyAlignment="1">
      <alignment horizontal="left" vertical="center"/>
    </xf>
    <xf numFmtId="0" fontId="39" fillId="3" borderId="0" xfId="9" applyFont="1" applyBorder="1" applyAlignment="1">
      <alignment horizontal="center"/>
    </xf>
    <xf numFmtId="9" fontId="0" fillId="2" borderId="0" xfId="30" applyFont="1" applyFill="1" applyAlignment="1">
      <alignment horizontal="left"/>
    </xf>
    <xf numFmtId="0" fontId="39" fillId="3" borderId="0" xfId="9" applyFont="1" applyBorder="1" applyAlignment="1"/>
    <xf numFmtId="0" fontId="0" fillId="2" borderId="0" xfId="0" applyAlignment="1">
      <alignment horizontal="left" wrapText="1"/>
    </xf>
    <xf numFmtId="0" fontId="30" fillId="2" borderId="36" xfId="2" applyFill="1" applyBorder="1"/>
    <xf numFmtId="0" fontId="30" fillId="2" borderId="37" xfId="2" applyFill="1" applyBorder="1"/>
    <xf numFmtId="0" fontId="30" fillId="2" borderId="0" xfId="2" applyFill="1" applyBorder="1"/>
    <xf numFmtId="0" fontId="34" fillId="2" borderId="32" xfId="2" applyFont="1" applyFill="1"/>
    <xf numFmtId="0" fontId="29" fillId="2" borderId="0" xfId="23" applyFont="1"/>
    <xf numFmtId="0" fontId="46" fillId="2" borderId="0" xfId="3" applyFont="1" applyFill="1"/>
    <xf numFmtId="166" fontId="40" fillId="3" borderId="6" xfId="9" applyNumberFormat="1" applyBorder="1" applyAlignment="1">
      <alignment horizontal="left"/>
    </xf>
    <xf numFmtId="164" fontId="40" fillId="3" borderId="7" xfId="9" applyNumberFormat="1" applyBorder="1" applyAlignment="1">
      <alignment horizontal="left"/>
    </xf>
    <xf numFmtId="9" fontId="40" fillId="3" borderId="4" xfId="9" applyNumberFormat="1" applyBorder="1" applyAlignment="1">
      <alignment horizontal="left"/>
    </xf>
    <xf numFmtId="0" fontId="46" fillId="2" borderId="0" xfId="4" applyFont="1" applyFill="1"/>
    <xf numFmtId="0" fontId="0" fillId="2" borderId="0" xfId="0" applyAlignment="1">
      <alignment horizontal="left" vertical="center" wrapText="1" indent="1"/>
    </xf>
    <xf numFmtId="0" fontId="35" fillId="2" borderId="0" xfId="5" applyFill="1" applyBorder="1" applyAlignment="1">
      <alignment horizontal="left" vertical="center" wrapText="1"/>
    </xf>
    <xf numFmtId="0" fontId="37" fillId="2" borderId="3" xfId="0" applyFont="1" applyBorder="1" applyAlignment="1">
      <alignment horizontal="left" vertical="center"/>
    </xf>
    <xf numFmtId="0" fontId="37" fillId="2" borderId="1" xfId="0" applyFont="1" applyBorder="1"/>
    <xf numFmtId="0" fontId="29" fillId="16" borderId="0" xfId="9" applyFont="1" applyFill="1" applyBorder="1" applyAlignment="1">
      <alignment horizontal="left" vertical="center" wrapText="1"/>
    </xf>
    <xf numFmtId="164" fontId="29" fillId="16" borderId="0" xfId="9" applyNumberFormat="1" applyFont="1" applyFill="1" applyBorder="1" applyAlignment="1">
      <alignment horizontal="left" wrapText="1"/>
    </xf>
    <xf numFmtId="3" fontId="29" fillId="16" borderId="0" xfId="9" applyNumberFormat="1" applyFont="1" applyFill="1" applyBorder="1" applyAlignment="1">
      <alignment horizontal="left" wrapText="1"/>
    </xf>
    <xf numFmtId="0" fontId="42" fillId="4" borderId="0" xfId="10" applyBorder="1" applyAlignment="1">
      <alignment horizontal="left" vertical="center"/>
    </xf>
    <xf numFmtId="0" fontId="43" fillId="2" borderId="0" xfId="0" applyFont="1" applyAlignment="1">
      <alignment vertical="top" wrapText="1"/>
    </xf>
    <xf numFmtId="3" fontId="40" fillId="3" borderId="3" xfId="9" applyNumberFormat="1" applyBorder="1" applyAlignment="1"/>
    <xf numFmtId="0" fontId="34" fillId="2" borderId="0" xfId="3" applyFill="1" applyAlignment="1">
      <alignment horizontal="left" vertical="top"/>
    </xf>
    <xf numFmtId="0" fontId="34" fillId="2" borderId="0" xfId="3" applyFill="1" applyAlignment="1">
      <alignment vertical="top" wrapText="1"/>
    </xf>
    <xf numFmtId="0" fontId="34" fillId="2" borderId="0" xfId="3" quotePrefix="1" applyFill="1" applyAlignment="1">
      <alignment horizontal="left" vertical="top"/>
    </xf>
    <xf numFmtId="0" fontId="43" fillId="2" borderId="0" xfId="0" applyFont="1"/>
    <xf numFmtId="3" fontId="40" fillId="2" borderId="3" xfId="9" applyNumberFormat="1" applyFill="1" applyBorder="1" applyAlignment="1"/>
    <xf numFmtId="0" fontId="37" fillId="2" borderId="0" xfId="0" applyFont="1" applyAlignment="1">
      <alignment horizontal="center" vertical="center"/>
    </xf>
    <xf numFmtId="49" fontId="37" fillId="2" borderId="0" xfId="0" applyNumberFormat="1" applyFont="1" applyAlignment="1">
      <alignment horizontal="center" vertical="center"/>
    </xf>
    <xf numFmtId="0" fontId="0" fillId="2" borderId="3" xfId="0" applyBorder="1" applyAlignment="1">
      <alignment horizontal="left" vertical="center"/>
    </xf>
    <xf numFmtId="3" fontId="40" fillId="2" borderId="0" xfId="9" applyNumberFormat="1" applyFill="1" applyBorder="1" applyAlignment="1"/>
    <xf numFmtId="3" fontId="39" fillId="2" borderId="0" xfId="9" applyNumberFormat="1" applyFont="1" applyFill="1" applyBorder="1" applyAlignment="1"/>
    <xf numFmtId="164" fontId="45" fillId="4" borderId="0" xfId="10" applyNumberFormat="1" applyFont="1" applyBorder="1" applyAlignment="1">
      <alignment horizontal="left" vertical="center"/>
    </xf>
    <xf numFmtId="164" fontId="45" fillId="4" borderId="0" xfId="10" applyNumberFormat="1" applyFont="1" applyBorder="1" applyAlignment="1">
      <alignment horizontal="left"/>
    </xf>
    <xf numFmtId="2" fontId="45" fillId="4" borderId="0" xfId="10" applyNumberFormat="1" applyFont="1" applyBorder="1" applyAlignment="1">
      <alignment horizontal="left" vertical="center"/>
    </xf>
    <xf numFmtId="0" fontId="35" fillId="2" borderId="36" xfId="5" applyFill="1" applyBorder="1" applyAlignment="1">
      <alignment vertical="center" wrapText="1"/>
    </xf>
    <xf numFmtId="0" fontId="0" fillId="16" borderId="0" xfId="0" applyFill="1" applyAlignment="1">
      <alignment horizontal="center" vertical="center"/>
    </xf>
    <xf numFmtId="0" fontId="0" fillId="16" borderId="0" xfId="0" applyFill="1"/>
    <xf numFmtId="0" fontId="43" fillId="2" borderId="0" xfId="0" applyFont="1" applyAlignment="1">
      <alignment horizontal="left" vertical="center" indent="2"/>
    </xf>
    <xf numFmtId="1" fontId="29" fillId="16" borderId="0" xfId="9" applyNumberFormat="1" applyFont="1" applyFill="1" applyBorder="1" applyAlignment="1">
      <alignment horizontal="left" vertical="center"/>
    </xf>
    <xf numFmtId="164" fontId="29" fillId="16" borderId="0" xfId="9" applyNumberFormat="1" applyFont="1" applyFill="1" applyBorder="1" applyAlignment="1">
      <alignment horizontal="left" vertical="center"/>
    </xf>
    <xf numFmtId="0" fontId="0" fillId="2" borderId="0" xfId="0" applyAlignment="1">
      <alignment vertical="top" wrapText="1"/>
    </xf>
    <xf numFmtId="0" fontId="0" fillId="14" borderId="0" xfId="6" applyFont="1" applyAlignment="1" applyProtection="1">
      <alignment vertical="top"/>
    </xf>
    <xf numFmtId="0" fontId="0" fillId="2" borderId="0" xfId="0" applyAlignment="1">
      <alignment vertical="top"/>
    </xf>
    <xf numFmtId="0" fontId="40" fillId="3" borderId="0" xfId="9" applyBorder="1" applyAlignment="1">
      <alignment vertical="top"/>
    </xf>
    <xf numFmtId="0" fontId="0" fillId="15" borderId="0" xfId="24" applyFont="1" applyBorder="1" applyAlignment="1">
      <alignment vertical="top"/>
    </xf>
    <xf numFmtId="0" fontId="0" fillId="2" borderId="0" xfId="0" applyAlignment="1">
      <alignment horizontal="left" vertical="top" wrapText="1"/>
    </xf>
    <xf numFmtId="0" fontId="0" fillId="2" borderId="0" xfId="0" quotePrefix="1" applyAlignment="1">
      <alignment horizontal="left" vertical="center" indent="1"/>
    </xf>
    <xf numFmtId="0" fontId="0" fillId="2" borderId="3" xfId="0" quotePrefix="1" applyBorder="1" applyAlignment="1">
      <alignment horizontal="left" vertical="center" indent="1"/>
    </xf>
    <xf numFmtId="0" fontId="38" fillId="2" borderId="0" xfId="1" applyFill="1" applyBorder="1" applyAlignment="1">
      <alignment wrapText="1"/>
    </xf>
    <xf numFmtId="0" fontId="36" fillId="2" borderId="0" xfId="7" applyFont="1" applyFill="1" applyBorder="1" applyAlignment="1">
      <protection locked="0"/>
    </xf>
    <xf numFmtId="0" fontId="29" fillId="2" borderId="0" xfId="0" applyFont="1"/>
    <xf numFmtId="0" fontId="33" fillId="2" borderId="1" xfId="0" applyFont="1" applyBorder="1" applyAlignment="1">
      <alignment vertical="center"/>
    </xf>
    <xf numFmtId="0" fontId="0" fillId="2" borderId="3" xfId="0" applyBorder="1"/>
    <xf numFmtId="0" fontId="33" fillId="2" borderId="1" xfId="0" applyFont="1" applyBorder="1" applyAlignment="1">
      <alignment vertical="center" wrapText="1"/>
    </xf>
    <xf numFmtId="0" fontId="35" fillId="2" borderId="5" xfId="5" applyFill="1" applyBorder="1" applyAlignment="1">
      <alignment vertical="center"/>
    </xf>
    <xf numFmtId="0" fontId="35" fillId="2" borderId="7" xfId="5" applyFill="1" applyBorder="1" applyAlignment="1">
      <alignment vertical="center"/>
    </xf>
    <xf numFmtId="0" fontId="35" fillId="2" borderId="0" xfId="5" applyFill="1" applyBorder="1" applyAlignment="1">
      <alignment vertical="center"/>
    </xf>
    <xf numFmtId="0" fontId="31" fillId="2" borderId="0" xfId="7" applyFill="1" applyBorder="1" applyAlignment="1">
      <protection locked="0"/>
    </xf>
    <xf numFmtId="0" fontId="35" fillId="2" borderId="21" xfId="5" applyFill="1" applyBorder="1" applyAlignment="1">
      <alignment vertical="center"/>
    </xf>
    <xf numFmtId="0" fontId="31" fillId="2" borderId="0" xfId="7" applyFill="1" applyBorder="1" applyAlignment="1">
      <alignment vertical="center"/>
      <protection locked="0"/>
    </xf>
    <xf numFmtId="0" fontId="0" fillId="2" borderId="5" xfId="0" applyBorder="1" applyAlignment="1">
      <alignment horizontal="left" vertical="center" wrapText="1"/>
    </xf>
    <xf numFmtId="0" fontId="36" fillId="2" borderId="0" xfId="7" quotePrefix="1" applyFont="1" applyFill="1" applyBorder="1" applyAlignment="1">
      <protection locked="0"/>
    </xf>
    <xf numFmtId="0" fontId="0" fillId="2" borderId="21" xfId="0" applyBorder="1" applyAlignment="1">
      <alignment horizontal="left" vertical="center" wrapText="1" indent="1"/>
    </xf>
    <xf numFmtId="0" fontId="0" fillId="2" borderId="0" xfId="0" applyAlignment="1">
      <alignment horizontal="left" vertical="center" wrapText="1" indent="1"/>
    </xf>
    <xf numFmtId="0" fontId="0" fillId="2" borderId="0" xfId="0" applyAlignment="1">
      <alignment horizontal="left" vertical="center" wrapText="1"/>
    </xf>
    <xf numFmtId="0" fontId="0" fillId="2" borderId="7" xfId="0" applyBorder="1" applyAlignment="1">
      <alignment horizontal="left" vertical="center" wrapText="1"/>
    </xf>
    <xf numFmtId="0" fontId="0" fillId="2" borderId="3" xfId="0" applyBorder="1" applyAlignment="1">
      <alignment horizontal="left" vertical="center" wrapText="1" indent="1"/>
    </xf>
    <xf numFmtId="0" fontId="35" fillId="2" borderId="0" xfId="5" applyFill="1" applyBorder="1" applyAlignment="1">
      <alignment horizontal="left" vertical="center" wrapText="1"/>
    </xf>
    <xf numFmtId="0" fontId="35" fillId="2" borderId="3" xfId="5" applyFill="1" applyBorder="1" applyAlignment="1">
      <alignment horizontal="left" vertical="center" wrapText="1"/>
    </xf>
    <xf numFmtId="0" fontId="35" fillId="2" borderId="0" xfId="5" applyFill="1" applyAlignment="1">
      <alignment horizontal="left"/>
    </xf>
    <xf numFmtId="3" fontId="40" fillId="3" borderId="4" xfId="9" applyNumberFormat="1" applyBorder="1" applyAlignment="1">
      <alignment horizontal="center"/>
    </xf>
    <xf numFmtId="3" fontId="40" fillId="3" borderId="1" xfId="9" applyNumberFormat="1" applyBorder="1" applyAlignment="1">
      <alignment horizontal="center"/>
    </xf>
    <xf numFmtId="0" fontId="0" fillId="2" borderId="5" xfId="0" applyBorder="1" applyAlignment="1">
      <alignment horizontal="left" vertical="top" wrapText="1"/>
    </xf>
    <xf numFmtId="0" fontId="0" fillId="2" borderId="21" xfId="0" applyBorder="1" applyAlignment="1">
      <alignment horizontal="left" vertical="top" wrapText="1"/>
    </xf>
    <xf numFmtId="3" fontId="0" fillId="14" borderId="5" xfId="6" applyNumberFormat="1" applyFont="1" applyBorder="1" applyAlignment="1">
      <alignment horizontal="left" vertical="center"/>
      <protection locked="0"/>
    </xf>
    <xf numFmtId="3" fontId="0" fillId="14" borderId="21" xfId="6" applyNumberFormat="1" applyFont="1" applyBorder="1" applyAlignment="1">
      <alignment horizontal="left" vertical="center"/>
      <protection locked="0"/>
    </xf>
    <xf numFmtId="3" fontId="40" fillId="3" borderId="6" xfId="9" applyNumberFormat="1" applyBorder="1" applyAlignment="1">
      <alignment horizontal="right"/>
    </xf>
    <xf numFmtId="3" fontId="0" fillId="14" borderId="4" xfId="6" applyNumberFormat="1" applyFont="1" applyBorder="1" applyAlignment="1">
      <alignment horizontal="right"/>
      <protection locked="0"/>
    </xf>
    <xf numFmtId="3" fontId="39" fillId="3" borderId="1" xfId="9" applyNumberFormat="1" applyFont="1" applyBorder="1" applyAlignment="1">
      <alignment horizontal="right"/>
    </xf>
    <xf numFmtId="0" fontId="33" fillId="2" borderId="1" xfId="28">
      <alignment horizontal="left" vertical="center" wrapText="1"/>
    </xf>
    <xf numFmtId="0" fontId="33" fillId="2" borderId="2" xfId="28" applyBorder="1" applyAlignment="1">
      <alignment horizontal="right" vertical="center" wrapText="1"/>
    </xf>
    <xf numFmtId="0" fontId="33" fillId="2" borderId="3" xfId="28" applyBorder="1" applyAlignment="1">
      <alignment horizontal="right" vertical="center" wrapText="1"/>
    </xf>
    <xf numFmtId="3" fontId="40" fillId="3" borderId="6" xfId="9" applyNumberFormat="1" applyBorder="1" applyAlignment="1"/>
    <xf numFmtId="3" fontId="0" fillId="14" borderId="5" xfId="6" applyNumberFormat="1" applyFont="1" applyBorder="1" applyAlignment="1">
      <protection locked="0"/>
    </xf>
    <xf numFmtId="3" fontId="39" fillId="3" borderId="1" xfId="9" applyNumberFormat="1" applyFont="1" applyBorder="1" applyAlignment="1"/>
    <xf numFmtId="0" fontId="0" fillId="14" borderId="0" xfId="6" applyFont="1" applyAlignment="1">
      <protection locked="0"/>
    </xf>
    <xf numFmtId="0" fontId="0" fillId="2" borderId="2" xfId="0" applyBorder="1" applyAlignment="1">
      <alignment vertical="center"/>
    </xf>
    <xf numFmtId="0" fontId="0" fillId="2" borderId="0" xfId="0" applyAlignment="1">
      <alignment vertical="center"/>
    </xf>
    <xf numFmtId="0" fontId="0" fillId="2" borderId="3" xfId="0" applyBorder="1" applyAlignment="1">
      <alignment vertical="center"/>
    </xf>
    <xf numFmtId="0" fontId="0" fillId="2" borderId="2" xfId="0" applyBorder="1" applyAlignment="1">
      <alignment horizontal="left" vertical="center"/>
    </xf>
    <xf numFmtId="0" fontId="0" fillId="2" borderId="0" xfId="0" applyAlignment="1">
      <alignment horizontal="left" vertical="center"/>
    </xf>
    <xf numFmtId="0" fontId="0" fillId="2" borderId="3" xfId="0" applyBorder="1" applyAlignment="1">
      <alignment horizontal="left" vertical="center"/>
    </xf>
    <xf numFmtId="0" fontId="0" fillId="2" borderId="6" xfId="0" applyBorder="1"/>
    <xf numFmtId="0" fontId="37" fillId="2" borderId="6" xfId="0" applyFont="1" applyBorder="1" applyAlignment="1">
      <alignment horizontal="center" vertical="center"/>
    </xf>
    <xf numFmtId="0" fontId="37" fillId="2" borderId="2" xfId="0" applyFont="1" applyBorder="1" applyAlignment="1">
      <alignment horizontal="left" vertical="center"/>
    </xf>
    <xf numFmtId="0" fontId="37" fillId="2" borderId="0" xfId="0" applyFont="1" applyAlignment="1">
      <alignment horizontal="left" vertical="center"/>
    </xf>
    <xf numFmtId="0" fontId="37" fillId="2" borderId="3" xfId="0" applyFont="1" applyBorder="1" applyAlignment="1">
      <alignment horizontal="left" vertical="center"/>
    </xf>
    <xf numFmtId="0" fontId="0" fillId="2" borderId="7" xfId="0" applyBorder="1"/>
    <xf numFmtId="49" fontId="37" fillId="2" borderId="2" xfId="0" applyNumberFormat="1" applyFont="1" applyBorder="1" applyAlignment="1">
      <alignment horizontal="left" vertical="center" wrapText="1"/>
    </xf>
    <xf numFmtId="49" fontId="37" fillId="2" borderId="21" xfId="0" applyNumberFormat="1" applyFont="1" applyBorder="1" applyAlignment="1">
      <alignment horizontal="left" vertical="center" wrapText="1"/>
    </xf>
    <xf numFmtId="0" fontId="33" fillId="2" borderId="2" xfId="28" applyBorder="1" applyAlignment="1">
      <alignment vertical="center" wrapText="1"/>
    </xf>
    <xf numFmtId="0" fontId="33" fillId="2" borderId="3" xfId="28" applyBorder="1" applyAlignment="1">
      <alignment vertical="center" wrapText="1"/>
    </xf>
    <xf numFmtId="0" fontId="35" fillId="2" borderId="0" xfId="5" quotePrefix="1" applyFill="1" applyBorder="1" applyAlignment="1">
      <alignment horizontal="left" vertical="top" wrapText="1"/>
    </xf>
    <xf numFmtId="0" fontId="33" fillId="2" borderId="2" xfId="28" applyBorder="1">
      <alignment horizontal="left" vertical="center" wrapText="1"/>
    </xf>
    <xf numFmtId="0" fontId="33" fillId="2" borderId="3" xfId="28" applyBorder="1">
      <alignment horizontal="left" vertical="center" wrapText="1"/>
    </xf>
    <xf numFmtId="0" fontId="0" fillId="2" borderId="5" xfId="0" applyBorder="1" applyAlignment="1">
      <alignment horizontal="left" vertical="center"/>
    </xf>
    <xf numFmtId="0" fontId="0" fillId="2" borderId="21" xfId="0" applyBorder="1" applyAlignment="1">
      <alignment horizontal="left" vertical="center"/>
    </xf>
    <xf numFmtId="0" fontId="37" fillId="2" borderId="1" xfId="0" applyFont="1" applyBorder="1"/>
    <xf numFmtId="0" fontId="37" fillId="2" borderId="2" xfId="0" applyFont="1" applyBorder="1" applyAlignment="1">
      <alignment horizontal="left" vertical="center" wrapText="1"/>
    </xf>
    <xf numFmtId="0" fontId="37" fillId="2" borderId="0" xfId="0" applyFont="1" applyAlignment="1">
      <alignment horizontal="left" vertical="center" wrapText="1"/>
    </xf>
    <xf numFmtId="0" fontId="4" fillId="2" borderId="1" xfId="0" applyFont="1" applyBorder="1"/>
    <xf numFmtId="0" fontId="0" fillId="2" borderId="5" xfId="0" applyBorder="1"/>
    <xf numFmtId="0" fontId="0" fillId="2" borderId="1" xfId="0" applyBorder="1"/>
    <xf numFmtId="3" fontId="0" fillId="14" borderId="0" xfId="6" applyNumberFormat="1" applyFont="1" applyAlignment="1">
      <alignment horizontal="left" vertical="center"/>
      <protection locked="0"/>
    </xf>
    <xf numFmtId="0" fontId="0" fillId="2" borderId="0" xfId="0"/>
    <xf numFmtId="0" fontId="0" fillId="2" borderId="6" xfId="0" applyBorder="1" applyAlignment="1">
      <alignment horizontal="left" vertical="center" wrapText="1"/>
    </xf>
    <xf numFmtId="0" fontId="1" fillId="2" borderId="3" xfId="0" applyFont="1" applyBorder="1" applyAlignment="1">
      <alignment horizontal="left" vertical="center" wrapText="1"/>
    </xf>
    <xf numFmtId="164" fontId="28" fillId="15" borderId="0" xfId="24" applyNumberFormat="1" applyFont="1" applyBorder="1" applyAlignment="1">
      <alignment horizontal="left"/>
    </xf>
    <xf numFmtId="0" fontId="40" fillId="4" borderId="0" xfId="22" applyBorder="1" applyAlignment="1">
      <alignment horizontal="left" wrapText="1"/>
    </xf>
    <xf numFmtId="0" fontId="40" fillId="4" borderId="0" xfId="22" applyBorder="1" applyAlignment="1"/>
    <xf numFmtId="0" fontId="28" fillId="15" borderId="0" xfId="24" applyFont="1" applyBorder="1" applyAlignment="1"/>
    <xf numFmtId="0" fontId="42" fillId="4" borderId="0" xfId="10" quotePrefix="1" applyBorder="1" applyAlignment="1"/>
    <xf numFmtId="0" fontId="40" fillId="4" borderId="0" xfId="22" applyBorder="1" applyAlignment="1">
      <alignment horizontal="left" vertical="center" wrapText="1"/>
    </xf>
    <xf numFmtId="0" fontId="0" fillId="2" borderId="7" xfId="0" applyBorder="1" applyAlignment="1">
      <alignment vertical="center"/>
    </xf>
    <xf numFmtId="0" fontId="0" fillId="2" borderId="4" xfId="0" applyBorder="1" applyAlignment="1">
      <alignment vertical="center"/>
    </xf>
    <xf numFmtId="0" fontId="0" fillId="2" borderId="21" xfId="0" applyBorder="1" applyAlignment="1">
      <alignment vertical="center"/>
    </xf>
    <xf numFmtId="0" fontId="0" fillId="2" borderId="22" xfId="0" applyBorder="1" applyAlignment="1">
      <alignment vertical="center"/>
    </xf>
    <xf numFmtId="0" fontId="0" fillId="2" borderId="14" xfId="0" applyBorder="1" applyAlignment="1">
      <alignment vertical="center"/>
    </xf>
    <xf numFmtId="0" fontId="0" fillId="2" borderId="24" xfId="0" applyBorder="1" applyAlignment="1">
      <alignment vertical="center"/>
    </xf>
    <xf numFmtId="0" fontId="40" fillId="3" borderId="0" xfId="9" applyBorder="1" applyAlignment="1">
      <alignment horizontal="left"/>
    </xf>
    <xf numFmtId="0" fontId="40" fillId="4" borderId="0" xfId="22" applyBorder="1" applyAlignment="1">
      <alignment horizontal="left"/>
    </xf>
    <xf numFmtId="166" fontId="40" fillId="3" borderId="0" xfId="9" applyNumberFormat="1" applyBorder="1" applyAlignment="1">
      <alignment horizontal="left"/>
    </xf>
    <xf numFmtId="0" fontId="42" fillId="4" borderId="0" xfId="10" applyBorder="1" applyAlignment="1"/>
    <xf numFmtId="0" fontId="40" fillId="3" borderId="6" xfId="9" applyBorder="1" applyAlignment="1">
      <alignment horizontal="right"/>
    </xf>
    <xf numFmtId="0" fontId="0" fillId="14" borderId="7" xfId="6" applyFont="1" applyBorder="1" applyAlignment="1">
      <protection locked="0"/>
    </xf>
    <xf numFmtId="0" fontId="0" fillId="14" borderId="4" xfId="6" applyFont="1" applyBorder="1" applyAlignment="1">
      <protection locked="0"/>
    </xf>
    <xf numFmtId="14" fontId="0" fillId="14" borderId="6" xfId="6" applyNumberFormat="1" applyFont="1" applyBorder="1" applyAlignment="1">
      <alignment horizontal="center" vertical="center" wrapText="1"/>
      <protection locked="0"/>
    </xf>
    <xf numFmtId="14" fontId="0" fillId="14" borderId="7" xfId="6" applyNumberFormat="1" applyFont="1" applyBorder="1" applyAlignment="1">
      <alignment horizontal="center" vertical="center" wrapText="1"/>
      <protection locked="0"/>
    </xf>
    <xf numFmtId="14" fontId="0" fillId="14" borderId="4" xfId="6" applyNumberFormat="1" applyFont="1" applyBorder="1" applyAlignment="1">
      <alignment horizontal="center" vertical="center" wrapText="1"/>
      <protection locked="0"/>
    </xf>
    <xf numFmtId="0" fontId="0" fillId="2" borderId="7" xfId="0" applyBorder="1" applyAlignment="1">
      <alignment horizontal="right" vertical="center"/>
    </xf>
    <xf numFmtId="0" fontId="0" fillId="2" borderId="4" xfId="0" applyBorder="1" applyAlignment="1">
      <alignment horizontal="right" vertical="center"/>
    </xf>
    <xf numFmtId="0" fontId="0" fillId="14" borderId="7" xfId="6" applyFont="1" applyBorder="1" applyAlignment="1">
      <alignment horizontal="right" vertical="center"/>
      <protection locked="0"/>
    </xf>
    <xf numFmtId="0" fontId="0" fillId="14" borderId="4" xfId="6" applyFont="1" applyBorder="1" applyAlignment="1">
      <alignment horizontal="right" vertical="center"/>
      <protection locked="0"/>
    </xf>
    <xf numFmtId="0" fontId="0" fillId="14" borderId="6" xfId="6" applyFont="1" applyBorder="1" applyAlignment="1">
      <alignment horizontal="right" vertical="center"/>
      <protection locked="0"/>
    </xf>
    <xf numFmtId="0" fontId="0" fillId="2" borderId="6" xfId="0" applyBorder="1" applyAlignment="1">
      <alignment horizontal="right" vertical="center"/>
    </xf>
    <xf numFmtId="0" fontId="0" fillId="2" borderId="6" xfId="0" applyBorder="1" applyAlignment="1">
      <alignment horizontal="left" vertical="center"/>
    </xf>
    <xf numFmtId="0" fontId="0" fillId="2" borderId="7" xfId="0" applyBorder="1" applyAlignment="1">
      <alignment horizontal="left" vertical="center"/>
    </xf>
    <xf numFmtId="0" fontId="0" fillId="2" borderId="6" xfId="0" applyBorder="1" applyAlignment="1">
      <alignment wrapText="1"/>
    </xf>
    <xf numFmtId="0" fontId="0" fillId="2" borderId="7" xfId="0" applyBorder="1" applyAlignment="1">
      <alignment wrapText="1"/>
    </xf>
    <xf numFmtId="0" fontId="0" fillId="2" borderId="4" xfId="0" applyBorder="1" applyAlignment="1">
      <alignment horizontal="left" vertical="center" wrapText="1"/>
    </xf>
    <xf numFmtId="0" fontId="0" fillId="2" borderId="4" xfId="0" applyBorder="1" applyAlignment="1">
      <alignment horizontal="left" vertical="center"/>
    </xf>
    <xf numFmtId="0" fontId="33" fillId="2" borderId="1" xfId="28" applyFill="1" applyAlignment="1">
      <alignment horizontal="right" vertical="center" wrapText="1"/>
    </xf>
    <xf numFmtId="0" fontId="33" fillId="2" borderId="1" xfId="28" applyFill="1">
      <alignment horizontal="left" vertical="center" wrapText="1"/>
    </xf>
    <xf numFmtId="0" fontId="33" fillId="2" borderId="43" xfId="28" applyFill="1" applyBorder="1">
      <alignment horizontal="left" vertical="center" wrapText="1"/>
    </xf>
    <xf numFmtId="0" fontId="33" fillId="2" borderId="6" xfId="28" applyFill="1" applyBorder="1">
      <alignment horizontal="left" vertical="center" wrapText="1"/>
    </xf>
    <xf numFmtId="0" fontId="33" fillId="2" borderId="23" xfId="28" applyFill="1" applyBorder="1">
      <alignment horizontal="left" vertical="center" wrapText="1"/>
    </xf>
    <xf numFmtId="0" fontId="4" fillId="2" borderId="2" xfId="0" applyFont="1" applyBorder="1" applyAlignment="1">
      <alignment horizontal="right" vertical="center" wrapText="1"/>
    </xf>
    <xf numFmtId="0" fontId="4" fillId="2" borderId="21" xfId="0" applyFont="1" applyBorder="1" applyAlignment="1">
      <alignment horizontal="right" vertical="center" wrapText="1"/>
    </xf>
    <xf numFmtId="0" fontId="33" fillId="2" borderId="1" xfId="28" applyFill="1" applyAlignment="1">
      <alignment horizontal="left" indent="1"/>
    </xf>
    <xf numFmtId="0" fontId="42" fillId="4" borderId="0" xfId="10" quotePrefix="1" applyBorder="1" applyAlignment="1">
      <alignment horizontal="left" vertical="center" wrapText="1"/>
    </xf>
    <xf numFmtId="0" fontId="42" fillId="4" borderId="0" xfId="10" applyBorder="1" applyAlignment="1">
      <alignment horizontal="center" vertical="center"/>
    </xf>
    <xf numFmtId="0" fontId="40" fillId="4" borderId="0" xfId="22" applyBorder="1" applyAlignment="1">
      <alignment vertical="center"/>
    </xf>
    <xf numFmtId="0" fontId="42" fillId="4" borderId="0" xfId="10" applyBorder="1" applyAlignment="1">
      <alignment horizontal="left" wrapText="1"/>
    </xf>
    <xf numFmtId="0" fontId="42" fillId="4" borderId="0" xfId="10" quotePrefix="1" applyBorder="1" applyAlignment="1">
      <alignment vertical="center" wrapText="1"/>
    </xf>
    <xf numFmtId="0" fontId="40" fillId="4" borderId="0" xfId="22" applyBorder="1" applyAlignment="1">
      <alignment horizontal="center" vertical="center"/>
    </xf>
    <xf numFmtId="0" fontId="40" fillId="4" borderId="0" xfId="22" applyBorder="1" applyAlignment="1">
      <alignment horizontal="left" vertical="center"/>
    </xf>
    <xf numFmtId="0" fontId="40" fillId="3" borderId="0" xfId="9" applyBorder="1" applyAlignment="1"/>
    <xf numFmtId="0" fontId="35" fillId="2" borderId="0" xfId="5" quotePrefix="1" applyFill="1" applyBorder="1" applyAlignment="1">
      <alignment horizontal="left" wrapText="1"/>
    </xf>
    <xf numFmtId="0" fontId="0" fillId="2" borderId="4" xfId="0" applyBorder="1"/>
    <xf numFmtId="0" fontId="42" fillId="4" borderId="0" xfId="10" applyBorder="1" applyAlignment="1">
      <alignment horizontal="left" vertical="center" wrapText="1"/>
    </xf>
    <xf numFmtId="164" fontId="40" fillId="3" borderId="0" xfId="9" applyNumberFormat="1" applyBorder="1" applyAlignment="1">
      <alignment horizontal="left"/>
    </xf>
    <xf numFmtId="0" fontId="42" fillId="4" borderId="0" xfId="10" applyBorder="1" applyAlignment="1">
      <alignment wrapText="1"/>
    </xf>
    <xf numFmtId="0" fontId="45" fillId="4" borderId="0" xfId="10" applyFont="1" applyBorder="1" applyAlignment="1">
      <alignment wrapText="1"/>
    </xf>
    <xf numFmtId="0" fontId="40" fillId="4" borderId="0" xfId="22" applyBorder="1" applyAlignment="1">
      <alignment wrapText="1"/>
    </xf>
    <xf numFmtId="0" fontId="40" fillId="3" borderId="0" xfId="9" applyBorder="1" applyAlignment="1">
      <alignment horizontal="left" vertical="center" wrapText="1"/>
    </xf>
    <xf numFmtId="0" fontId="0" fillId="2" borderId="0" xfId="0" applyAlignment="1">
      <alignment wrapText="1"/>
    </xf>
    <xf numFmtId="0" fontId="0" fillId="2" borderId="0" xfId="0" applyAlignment="1">
      <alignment horizontal="right" vertical="center"/>
    </xf>
    <xf numFmtId="0" fontId="40" fillId="3" borderId="0" xfId="9" applyBorder="1" applyAlignment="1">
      <alignment wrapText="1"/>
    </xf>
    <xf numFmtId="164" fontId="39" fillId="3" borderId="0" xfId="9" applyNumberFormat="1" applyFont="1" applyBorder="1" applyAlignment="1">
      <alignment horizontal="left"/>
    </xf>
    <xf numFmtId="0" fontId="39" fillId="4" borderId="0" xfId="22" applyFont="1" applyBorder="1" applyAlignment="1">
      <alignment horizontal="center" vertical="center"/>
    </xf>
    <xf numFmtId="0" fontId="45" fillId="4" borderId="0" xfId="10" applyFont="1" applyBorder="1" applyAlignment="1">
      <alignment horizontal="left" wrapText="1"/>
    </xf>
    <xf numFmtId="0" fontId="45" fillId="4" borderId="0" xfId="10" applyFont="1" applyBorder="1" applyAlignment="1">
      <alignment horizontal="left"/>
    </xf>
    <xf numFmtId="0" fontId="42" fillId="4" borderId="0" xfId="10" applyBorder="1" applyAlignment="1">
      <alignment horizontal="left" vertical="center"/>
    </xf>
    <xf numFmtId="164" fontId="45" fillId="4" borderId="0" xfId="10" applyNumberFormat="1" applyFont="1" applyBorder="1" applyAlignment="1">
      <alignment horizontal="left" vertical="center"/>
    </xf>
    <xf numFmtId="0" fontId="45" fillId="4" borderId="0" xfId="10" applyFont="1" applyBorder="1" applyAlignment="1">
      <alignment horizontal="center" vertical="center" wrapText="1"/>
    </xf>
    <xf numFmtId="3" fontId="40" fillId="3" borderId="0" xfId="9" applyNumberFormat="1" applyBorder="1" applyAlignment="1">
      <alignment horizontal="left"/>
    </xf>
    <xf numFmtId="0" fontId="35" fillId="2" borderId="0" xfId="5" applyFill="1" applyBorder="1" applyAlignment="1">
      <alignment horizontal="left" vertical="top" wrapText="1"/>
    </xf>
    <xf numFmtId="0" fontId="0" fillId="14" borderId="0" xfId="6" applyFont="1" applyAlignment="1">
      <alignment horizontal="left"/>
      <protection locked="0"/>
    </xf>
    <xf numFmtId="0" fontId="0" fillId="2" borderId="0" xfId="0" applyAlignment="1">
      <alignment horizontal="left" vertical="top"/>
    </xf>
    <xf numFmtId="0" fontId="42" fillId="4" borderId="0" xfId="10" applyBorder="1" applyAlignment="1">
      <alignment horizontal="left" vertical="top" wrapText="1"/>
    </xf>
    <xf numFmtId="0" fontId="45" fillId="4" borderId="0" xfId="10" applyFont="1" applyBorder="1" applyAlignment="1">
      <alignment horizontal="left" vertical="center" wrapText="1"/>
    </xf>
    <xf numFmtId="0" fontId="42" fillId="4" borderId="0" xfId="10" applyBorder="1" applyAlignment="1">
      <alignment horizontal="center" vertical="center" wrapText="1"/>
    </xf>
    <xf numFmtId="0" fontId="0" fillId="2" borderId="0" xfId="0" applyAlignment="1">
      <alignment horizontal="left" wrapText="1"/>
    </xf>
    <xf numFmtId="0" fontId="45" fillId="4" borderId="0" xfId="10" quotePrefix="1" applyFont="1" applyBorder="1" applyAlignment="1">
      <alignment wrapText="1"/>
    </xf>
    <xf numFmtId="0" fontId="45" fillId="4" borderId="0" xfId="10" quotePrefix="1" applyFont="1" applyBorder="1" applyAlignment="1">
      <alignment horizontal="left"/>
    </xf>
    <xf numFmtId="0" fontId="35" fillId="2" borderId="0" xfId="5" applyFill="1" applyBorder="1" applyAlignment="1">
      <alignment vertical="center" wrapText="1"/>
    </xf>
    <xf numFmtId="0" fontId="45" fillId="4" borderId="0" xfId="10" quotePrefix="1" applyFont="1" applyBorder="1" applyAlignment="1"/>
    <xf numFmtId="0" fontId="35" fillId="2" borderId="0" xfId="5" applyFill="1" applyBorder="1" applyAlignment="1">
      <alignment horizontal="left" wrapText="1"/>
    </xf>
    <xf numFmtId="166" fontId="0" fillId="14" borderId="0" xfId="6" applyNumberFormat="1" applyFont="1" applyAlignment="1">
      <alignment horizontal="center" vertical="center"/>
      <protection locked="0"/>
    </xf>
    <xf numFmtId="0" fontId="29" fillId="16" borderId="0" xfId="9" applyFont="1" applyFill="1" applyBorder="1" applyAlignment="1">
      <alignment horizontal="center" vertical="center"/>
    </xf>
    <xf numFmtId="0" fontId="29" fillId="16" borderId="0" xfId="9" applyFont="1" applyFill="1" applyBorder="1" applyAlignment="1">
      <alignment horizontal="left" vertical="center" wrapText="1"/>
    </xf>
    <xf numFmtId="0" fontId="29" fillId="16" borderId="49" xfId="9" applyFont="1" applyFill="1" applyBorder="1" applyAlignment="1">
      <alignment horizontal="center" vertical="center"/>
    </xf>
    <xf numFmtId="0" fontId="29" fillId="16" borderId="0" xfId="9" applyFont="1" applyFill="1" applyBorder="1" applyAlignment="1">
      <alignment horizontal="center" vertical="center" wrapText="1"/>
    </xf>
    <xf numFmtId="169" fontId="29" fillId="16" borderId="0" xfId="9" applyNumberFormat="1" applyFont="1" applyFill="1" applyBorder="1" applyAlignment="1">
      <alignment horizontal="left" wrapText="1"/>
    </xf>
    <xf numFmtId="164" fontId="29" fillId="16" borderId="0" xfId="9" applyNumberFormat="1" applyFont="1" applyFill="1" applyBorder="1" applyAlignment="1">
      <alignment horizontal="left" wrapText="1"/>
    </xf>
    <xf numFmtId="0" fontId="43" fillId="2" borderId="0" xfId="0" applyFont="1" applyAlignment="1">
      <alignment horizontal="left" vertical="center" wrapText="1" indent="2"/>
    </xf>
    <xf numFmtId="0" fontId="33" fillId="2" borderId="26" xfId="28" applyFill="1" applyBorder="1">
      <alignment horizontal="left" vertical="center" wrapText="1"/>
    </xf>
    <xf numFmtId="0" fontId="33" fillId="2" borderId="27" xfId="28" applyFill="1" applyBorder="1">
      <alignment horizontal="left" vertical="center" wrapText="1"/>
    </xf>
    <xf numFmtId="0" fontId="33" fillId="2" borderId="29" xfId="28" applyFill="1" applyBorder="1">
      <alignment horizontal="left" vertical="center" wrapText="1"/>
    </xf>
    <xf numFmtId="0" fontId="33" fillId="2" borderId="30" xfId="28" applyFill="1" applyBorder="1">
      <alignment horizontal="left" vertical="center" wrapText="1"/>
    </xf>
    <xf numFmtId="0" fontId="29" fillId="16" borderId="47" xfId="9" applyFont="1" applyFill="1" applyBorder="1" applyAlignment="1">
      <alignment horizontal="center" vertical="center"/>
    </xf>
    <xf numFmtId="0" fontId="33" fillId="2" borderId="44" xfId="28" applyFill="1" applyBorder="1">
      <alignment horizontal="left" vertical="center" wrapText="1"/>
    </xf>
    <xf numFmtId="0" fontId="33" fillId="2" borderId="31" xfId="28" applyFill="1" applyBorder="1">
      <alignment horizontal="left" vertical="center" wrapText="1"/>
    </xf>
    <xf numFmtId="0" fontId="29" fillId="16" borderId="0" xfId="9" applyFont="1" applyFill="1" applyBorder="1" applyAlignment="1">
      <alignment horizontal="left" wrapText="1"/>
    </xf>
    <xf numFmtId="0" fontId="29" fillId="16" borderId="48" xfId="9" applyFont="1" applyFill="1" applyBorder="1" applyAlignment="1">
      <alignment horizontal="left" vertical="center" wrapText="1"/>
    </xf>
    <xf numFmtId="0" fontId="30" fillId="2" borderId="32" xfId="2" applyFill="1" applyAlignment="1"/>
    <xf numFmtId="0" fontId="33" fillId="2" borderId="25" xfId="28" applyFill="1" applyBorder="1">
      <alignment horizontal="left" vertical="center" wrapText="1"/>
    </xf>
    <xf numFmtId="0" fontId="33" fillId="2" borderId="28" xfId="28" applyFill="1" applyBorder="1">
      <alignment horizontal="left" vertical="center" wrapText="1"/>
    </xf>
    <xf numFmtId="3" fontId="29" fillId="16" borderId="0" xfId="9" applyNumberFormat="1" applyFont="1" applyFill="1" applyBorder="1" applyAlignment="1">
      <alignment horizontal="left" wrapText="1"/>
    </xf>
    <xf numFmtId="0" fontId="29" fillId="16" borderId="47" xfId="9" applyFont="1" applyFill="1" applyBorder="1" applyAlignment="1">
      <alignment horizontal="center" vertical="center" wrapText="1"/>
    </xf>
    <xf numFmtId="0" fontId="29" fillId="16" borderId="48" xfId="9" applyFont="1" applyFill="1" applyBorder="1" applyAlignment="1">
      <alignment horizontal="center" vertical="center" wrapText="1"/>
    </xf>
    <xf numFmtId="0" fontId="23" fillId="12" borderId="0" xfId="0" applyFont="1" applyFill="1" applyAlignment="1">
      <alignment horizontal="left"/>
    </xf>
    <xf numFmtId="0" fontId="24" fillId="13" borderId="15" xfId="0" applyFont="1" applyFill="1" applyBorder="1" applyAlignment="1">
      <alignment horizontal="left"/>
    </xf>
    <xf numFmtId="0" fontId="24" fillId="13" borderId="14" xfId="0" applyFont="1" applyFill="1" applyBorder="1" applyAlignment="1">
      <alignment horizontal="left"/>
    </xf>
    <xf numFmtId="0" fontId="24" fillId="13" borderId="17" xfId="0" applyFont="1" applyFill="1" applyBorder="1" applyAlignment="1">
      <alignment vertical="center"/>
    </xf>
    <xf numFmtId="0" fontId="18" fillId="12" borderId="0" xfId="0" applyFont="1" applyFill="1" applyAlignment="1">
      <alignment horizontal="center"/>
    </xf>
    <xf numFmtId="0" fontId="24" fillId="13" borderId="13" xfId="0" applyFont="1" applyFill="1" applyBorder="1" applyAlignment="1">
      <alignment horizontal="left" vertical="top" wrapText="1"/>
    </xf>
    <xf numFmtId="0" fontId="24" fillId="13" borderId="20" xfId="0" applyFont="1" applyFill="1" applyBorder="1" applyAlignment="1">
      <alignment horizontal="left" vertical="top" wrapText="1"/>
    </xf>
    <xf numFmtId="0" fontId="24" fillId="13" borderId="13" xfId="0" applyFont="1" applyFill="1" applyBorder="1" applyAlignment="1">
      <alignment horizontal="right" vertical="top" wrapText="1"/>
    </xf>
    <xf numFmtId="0" fontId="24" fillId="13" borderId="20" xfId="0" applyFont="1" applyFill="1" applyBorder="1" applyAlignment="1">
      <alignment horizontal="right" vertical="top" wrapText="1"/>
    </xf>
    <xf numFmtId="0" fontId="24" fillId="13" borderId="15" xfId="0" applyFont="1" applyFill="1" applyBorder="1" applyAlignment="1">
      <alignment horizontal="center"/>
    </xf>
    <xf numFmtId="0" fontId="24" fillId="13" borderId="7" xfId="0" applyFont="1" applyFill="1" applyBorder="1" applyAlignment="1">
      <alignment horizontal="center"/>
    </xf>
    <xf numFmtId="0" fontId="24" fillId="13" borderId="14" xfId="0" applyFont="1" applyFill="1" applyBorder="1" applyAlignment="1">
      <alignment horizontal="center"/>
    </xf>
    <xf numFmtId="0" fontId="25" fillId="2" borderId="7" xfId="0" applyFont="1" applyBorder="1" applyAlignment="1" applyProtection="1">
      <alignment horizontal="left"/>
      <protection locked="0"/>
    </xf>
    <xf numFmtId="0" fontId="25" fillId="2" borderId="14" xfId="0" applyFont="1" applyBorder="1" applyAlignment="1" applyProtection="1">
      <alignment horizontal="left"/>
      <protection locked="0"/>
    </xf>
    <xf numFmtId="0" fontId="24" fillId="12" borderId="0" xfId="0" applyFont="1" applyFill="1" applyAlignment="1">
      <alignment horizontal="center"/>
    </xf>
    <xf numFmtId="0" fontId="27" fillId="12" borderId="0" xfId="0" applyFont="1" applyFill="1" applyAlignment="1">
      <alignment horizontal="left"/>
    </xf>
    <xf numFmtId="0" fontId="27" fillId="12" borderId="0" xfId="0" applyFont="1" applyFill="1" applyAlignment="1">
      <alignment horizontal="right"/>
    </xf>
    <xf numFmtId="0" fontId="15" fillId="2" borderId="0" xfId="0" applyFont="1" applyAlignment="1">
      <alignment horizontal="left"/>
    </xf>
    <xf numFmtId="0" fontId="16" fillId="2" borderId="15" xfId="0" applyFont="1" applyBorder="1" applyAlignment="1">
      <alignment horizontal="center"/>
    </xf>
    <xf numFmtId="0" fontId="16" fillId="2" borderId="7" xfId="0" applyFont="1" applyBorder="1" applyAlignment="1">
      <alignment horizontal="center"/>
    </xf>
    <xf numFmtId="0" fontId="16" fillId="2" borderId="14" xfId="0" applyFont="1" applyBorder="1" applyAlignment="1">
      <alignment horizontal="center"/>
    </xf>
    <xf numFmtId="0" fontId="16" fillId="2" borderId="13" xfId="0" applyFont="1" applyBorder="1" applyAlignment="1">
      <alignment horizontal="left"/>
    </xf>
    <xf numFmtId="0" fontId="16" fillId="2" borderId="16" xfId="0" applyFont="1" applyBorder="1" applyAlignment="1">
      <alignment horizontal="left"/>
    </xf>
    <xf numFmtId="0" fontId="17" fillId="0" borderId="0" xfId="0" applyFont="1" applyFill="1" applyAlignment="1">
      <alignment horizontal="left"/>
    </xf>
    <xf numFmtId="0" fontId="15" fillId="2" borderId="0" xfId="0" applyFont="1" applyAlignment="1">
      <alignment horizontal="left" vertical="top" wrapText="1"/>
    </xf>
    <xf numFmtId="0" fontId="16" fillId="0" borderId="13" xfId="0" applyFont="1" applyFill="1" applyBorder="1" applyAlignment="1">
      <alignment horizontal="left"/>
    </xf>
    <xf numFmtId="0" fontId="16" fillId="0" borderId="16" xfId="0" applyFont="1" applyFill="1" applyBorder="1" applyAlignment="1">
      <alignment horizontal="left"/>
    </xf>
    <xf numFmtId="0" fontId="16" fillId="0" borderId="15" xfId="0" applyFont="1" applyFill="1" applyBorder="1" applyAlignment="1">
      <alignment horizontal="center"/>
    </xf>
    <xf numFmtId="0" fontId="16" fillId="0" borderId="7" xfId="0" applyFont="1" applyFill="1" applyBorder="1" applyAlignment="1">
      <alignment horizontal="center"/>
    </xf>
    <xf numFmtId="0" fontId="16" fillId="0" borderId="14" xfId="0" applyFont="1" applyFill="1" applyBorder="1" applyAlignment="1">
      <alignment horizontal="center"/>
    </xf>
    <xf numFmtId="0" fontId="29" fillId="16" borderId="47" xfId="9" applyFont="1" applyFill="1" applyBorder="1" applyAlignment="1">
      <alignment horizontal="left" wrapText="1"/>
    </xf>
    <xf numFmtId="0" fontId="0" fillId="2" borderId="0" xfId="0" applyBorder="1" applyAlignment="1">
      <alignment horizontal="left" vertical="center" wrapText="1" indent="1"/>
    </xf>
    <xf numFmtId="0" fontId="29" fillId="16" borderId="0" xfId="9" applyFont="1" applyFill="1" applyBorder="1" applyAlignment="1">
      <alignment horizontal="left" vertical="top" wrapText="1"/>
    </xf>
    <xf numFmtId="0" fontId="29" fillId="16" borderId="49" xfId="9" applyFont="1" applyFill="1" applyBorder="1" applyAlignment="1">
      <alignment horizontal="left" vertical="top" wrapText="1"/>
    </xf>
    <xf numFmtId="0" fontId="48" fillId="16" borderId="0" xfId="0" applyFont="1" applyFill="1" applyAlignment="1">
      <alignment horizontal="center" vertical="center"/>
    </xf>
    <xf numFmtId="0" fontId="48" fillId="16" borderId="0" xfId="0" applyFont="1" applyFill="1"/>
    <xf numFmtId="0" fontId="0" fillId="2" borderId="5" xfId="0" quotePrefix="1" applyFont="1" applyBorder="1" applyAlignment="1">
      <alignment horizontal="left" vertical="center"/>
    </xf>
    <xf numFmtId="2" fontId="0" fillId="2" borderId="0" xfId="0" quotePrefix="1" applyNumberFormat="1" applyFont="1" applyAlignment="1">
      <alignment horizontal="left" vertical="center" indent="1"/>
    </xf>
    <xf numFmtId="0" fontId="0" fillId="2" borderId="0" xfId="0" quotePrefix="1" applyFont="1" applyAlignment="1">
      <alignment horizontal="left" vertical="center" indent="1"/>
    </xf>
    <xf numFmtId="0" fontId="0" fillId="2" borderId="7" xfId="0" quotePrefix="1" applyFont="1" applyBorder="1" applyAlignment="1">
      <alignment horizontal="left" vertical="center"/>
    </xf>
    <xf numFmtId="0" fontId="0" fillId="2" borderId="0" xfId="0" quotePrefix="1" applyFont="1" applyAlignment="1">
      <alignment horizontal="left" vertical="center"/>
    </xf>
    <xf numFmtId="2" fontId="0" fillId="2" borderId="21" xfId="0" quotePrefix="1" applyNumberFormat="1" applyFont="1" applyBorder="1" applyAlignment="1">
      <alignment horizontal="left" vertical="center" indent="1"/>
    </xf>
    <xf numFmtId="0" fontId="0" fillId="2" borderId="0" xfId="0" quotePrefix="1" applyFont="1" applyAlignment="1">
      <alignment horizontal="left" vertical="center" indent="1"/>
    </xf>
    <xf numFmtId="2" fontId="0" fillId="2" borderId="0" xfId="0" quotePrefix="1" applyNumberFormat="1" applyFont="1" applyAlignment="1">
      <alignment horizontal="left" vertical="center" indent="1"/>
    </xf>
    <xf numFmtId="167" fontId="0" fillId="2" borderId="0" xfId="0" applyNumberFormat="1" applyFont="1" applyAlignment="1">
      <alignment horizontal="left" vertical="center" indent="1"/>
    </xf>
    <xf numFmtId="0" fontId="0" fillId="2" borderId="21" xfId="0" quotePrefix="1" applyFont="1" applyBorder="1" applyAlignment="1">
      <alignment horizontal="left" vertical="center" indent="1"/>
    </xf>
    <xf numFmtId="0" fontId="0" fillId="2" borderId="21" xfId="0" quotePrefix="1" applyFont="1" applyBorder="1" applyAlignment="1">
      <alignment horizontal="left" vertical="center" indent="1"/>
    </xf>
    <xf numFmtId="0" fontId="29" fillId="16" borderId="47" xfId="9" applyFont="1" applyFill="1" applyBorder="1" applyAlignment="1">
      <alignment horizontal="left" vertical="center" wrapText="1"/>
    </xf>
    <xf numFmtId="0" fontId="0" fillId="2" borderId="3" xfId="0" quotePrefix="1" applyFont="1" applyBorder="1" applyAlignment="1">
      <alignment horizontal="left" vertical="center" indent="1"/>
    </xf>
    <xf numFmtId="0" fontId="35" fillId="2" borderId="0" xfId="5" applyFill="1" applyBorder="1" applyAlignment="1">
      <alignment vertical="top" wrapText="1"/>
    </xf>
    <xf numFmtId="0" fontId="35" fillId="2" borderId="37" xfId="5" applyFill="1" applyBorder="1" applyAlignment="1">
      <alignment vertical="top" wrapText="1"/>
    </xf>
    <xf numFmtId="0" fontId="31" fillId="2" borderId="0" xfId="7" applyFill="1" applyBorder="1" applyAlignment="1">
      <alignment horizontal="left"/>
      <protection locked="0"/>
    </xf>
    <xf numFmtId="0" fontId="49" fillId="2" borderId="0" xfId="7" applyFont="1" applyFill="1" applyBorder="1" applyAlignment="1">
      <protection locked="0"/>
    </xf>
    <xf numFmtId="0" fontId="31" fillId="2" borderId="0" xfId="7" applyFill="1" applyAlignment="1">
      <alignment horizontal="left"/>
      <protection locked="0"/>
    </xf>
    <xf numFmtId="0" fontId="50" fillId="2" borderId="0" xfId="0" applyFont="1" applyAlignment="1">
      <alignment horizontal="left" vertical="top" wrapText="1"/>
    </xf>
  </cellXfs>
  <cellStyles count="31">
    <cellStyle name="Bad" xfId="13" builtinId="27" hidden="1"/>
    <cellStyle name="Calculated Field" xfId="9" xr:uid="{00000000-0005-0000-0000-000001000000}"/>
    <cellStyle name="Calculated Field Total" xfId="29" xr:uid="{00000000-0005-0000-0000-000002000000}"/>
    <cellStyle name="Calculation" xfId="17" builtinId="22" hidden="1"/>
    <cellStyle name="Check Cell" xfId="19" builtinId="23" hidden="1"/>
    <cellStyle name="Explanatory Text" xfId="5" builtinId="53" customBuiltin="1"/>
    <cellStyle name="Followed Hyperlink" xfId="8" builtinId="9" customBuiltin="1"/>
    <cellStyle name="Formula" xfId="10" xr:uid="{00000000-0005-0000-0000-000007000000}"/>
    <cellStyle name="Formula Workings" xfId="22" xr:uid="{00000000-0005-0000-0000-000008000000}"/>
    <cellStyle name="Good" xfId="12" builtinId="26" hidden="1"/>
    <cellStyle name="Heading 1" xfId="2" builtinId="16" customBuiltin="1"/>
    <cellStyle name="Heading 2" xfId="3" builtinId="17" customBuiltin="1"/>
    <cellStyle name="Heading 3" xfId="4" builtinId="18" customBuiltin="1"/>
    <cellStyle name="Heading 4" xfId="11" builtinId="19" customBuiltin="1"/>
    <cellStyle name="Hyperlink" xfId="7" builtinId="8" customBuiltin="1"/>
    <cellStyle name="Input" xfId="15" builtinId="20" hidden="1"/>
    <cellStyle name="Input Required" xfId="6" xr:uid="{00000000-0005-0000-0000-000010000000}"/>
    <cellStyle name="Linked Cell" xfId="18" builtinId="24" hidden="1"/>
    <cellStyle name="Neutral" xfId="14" builtinId="28" hidden="1"/>
    <cellStyle name="Normal" xfId="0" builtinId="0" customBuiltin="1"/>
    <cellStyle name="Note" xfId="21" builtinId="10" hidden="1"/>
    <cellStyle name="Output" xfId="16" builtinId="21" hidden="1"/>
    <cellStyle name="Percent" xfId="30" builtinId="5"/>
    <cellStyle name="Reference to Supplementary Planning Document" xfId="23" xr:uid="{00000000-0005-0000-0000-000016000000}"/>
    <cellStyle name="Requirement" xfId="24" xr:uid="{00000000-0005-0000-0000-000017000000}"/>
    <cellStyle name="Summary Table Main" xfId="25" xr:uid="{00000000-0005-0000-0000-000018000000}"/>
    <cellStyle name="Summary Table Sub" xfId="26" xr:uid="{00000000-0005-0000-0000-000019000000}"/>
    <cellStyle name="Summary Table Sub Sub" xfId="27" xr:uid="{00000000-0005-0000-0000-00001A000000}"/>
    <cellStyle name="Table Heading" xfId="28" xr:uid="{00000000-0005-0000-0000-00001B000000}"/>
    <cellStyle name="Title" xfId="1" builtinId="15" customBuiltin="1"/>
    <cellStyle name="Warning Text" xfId="20" builtinId="11" hidden="1"/>
  </cellStyles>
  <dxfs count="24">
    <dxf>
      <font>
        <color rgb="FF9C5700"/>
      </font>
      <fill>
        <patternFill>
          <bgColor rgb="FFFFEB9C"/>
        </patternFill>
      </fill>
    </dxf>
    <dxf>
      <font>
        <color theme="1"/>
      </font>
      <fill>
        <patternFill>
          <bgColor theme="6"/>
        </patternFill>
      </fill>
    </dxf>
    <dxf>
      <font>
        <color rgb="FF9C5700"/>
      </font>
      <fill>
        <patternFill>
          <bgColor rgb="FFFFEB9C"/>
        </patternFill>
      </fill>
    </dxf>
    <dxf>
      <font>
        <color rgb="FF9C0006"/>
      </font>
      <fill>
        <patternFill>
          <bgColor rgb="FFFFC7CE"/>
        </patternFill>
      </fill>
    </dxf>
    <dxf>
      <font>
        <color theme="1"/>
      </font>
      <fill>
        <patternFill>
          <bgColor theme="8"/>
        </patternFill>
      </fill>
    </dxf>
    <dxf>
      <font>
        <color auto="1"/>
      </font>
      <fill>
        <patternFill>
          <bgColor theme="6"/>
        </patternFill>
      </fill>
    </dxf>
    <dxf>
      <fill>
        <patternFill>
          <fgColor theme="0"/>
          <bgColor theme="0" tint="-0.499984740745262"/>
        </patternFill>
      </fill>
    </dxf>
    <dxf>
      <font>
        <color theme="1"/>
      </font>
      <fill>
        <patternFill>
          <bgColor theme="6"/>
        </patternFill>
      </fill>
    </dxf>
    <dxf>
      <font>
        <b val="0"/>
        <i val="0"/>
        <color auto="1"/>
      </font>
      <fill>
        <patternFill>
          <bgColor theme="6"/>
        </patternFill>
      </fill>
    </dxf>
    <dxf>
      <font>
        <b val="0"/>
        <i val="0"/>
        <color auto="1"/>
      </font>
      <fill>
        <patternFill>
          <bgColor theme="6"/>
        </patternFill>
      </fill>
    </dxf>
    <dxf>
      <font>
        <color theme="1"/>
      </font>
      <fill>
        <patternFill>
          <bgColor theme="6"/>
        </patternFill>
      </fill>
    </dxf>
    <dxf>
      <font>
        <b val="0"/>
        <i val="0"/>
        <color auto="1"/>
      </font>
      <fill>
        <patternFill>
          <bgColor theme="6"/>
        </patternFill>
      </fill>
    </dxf>
    <dxf>
      <font>
        <b val="0"/>
        <i val="0"/>
        <color auto="1"/>
      </font>
      <fill>
        <patternFill>
          <bgColor theme="6"/>
        </patternFill>
      </fill>
    </dxf>
    <dxf>
      <font>
        <b val="0"/>
        <i val="0"/>
        <color auto="1"/>
      </font>
      <fill>
        <patternFill>
          <bgColor theme="6"/>
        </patternFill>
      </fill>
    </dxf>
    <dxf>
      <font>
        <b val="0"/>
        <i val="0"/>
        <color auto="1"/>
      </font>
      <fill>
        <patternFill>
          <bgColor theme="6"/>
        </patternFill>
      </fill>
    </dxf>
    <dxf>
      <fill>
        <patternFill>
          <fgColor auto="1"/>
          <bgColor theme="6"/>
        </patternFill>
      </fill>
    </dxf>
    <dxf>
      <font>
        <b val="0"/>
        <i val="0"/>
        <color auto="1"/>
      </font>
      <fill>
        <patternFill>
          <bgColor theme="6"/>
        </patternFill>
      </fill>
    </dxf>
    <dxf>
      <font>
        <b val="0"/>
        <i val="0"/>
        <color auto="1"/>
      </font>
      <fill>
        <patternFill>
          <bgColor theme="6"/>
        </patternFill>
      </fill>
    </dxf>
    <dxf>
      <font>
        <b val="0"/>
        <i val="0"/>
        <color auto="1"/>
      </font>
      <fill>
        <patternFill>
          <bgColor theme="6"/>
        </patternFill>
      </fill>
    </dxf>
    <dxf>
      <font>
        <b val="0"/>
        <i val="0"/>
        <color auto="1"/>
      </font>
      <fill>
        <patternFill>
          <bgColor theme="6"/>
        </patternFill>
      </fill>
    </dxf>
    <dxf>
      <font>
        <b val="0"/>
        <i val="0"/>
        <color auto="1"/>
      </font>
      <fill>
        <patternFill>
          <bgColor theme="6"/>
        </patternFill>
      </fill>
    </dxf>
    <dxf>
      <font>
        <b val="0"/>
        <i val="0"/>
        <color auto="1"/>
      </font>
      <fill>
        <patternFill>
          <bgColor theme="6"/>
        </patternFill>
      </fill>
    </dxf>
    <dxf>
      <font>
        <b val="0"/>
        <i val="0"/>
        <color auto="1"/>
      </font>
      <fill>
        <patternFill>
          <bgColor theme="6"/>
        </patternFill>
      </fill>
    </dxf>
    <dxf>
      <font>
        <b val="0"/>
        <i val="0"/>
        <color theme="0"/>
      </font>
      <fill>
        <patternFill>
          <bgColor theme="0" tint="-0.499984740745262"/>
        </patternFill>
      </fill>
    </dxf>
  </dxfs>
  <tableStyles count="0" defaultTableStyle="TableStyleMedium2" defaultPivotStyle="PivotStyleLight16"/>
  <colors>
    <mruColors>
      <color rgb="FFAB4F4F"/>
      <color rgb="FFB15757"/>
      <color rgb="FFBD3535"/>
      <color rgb="FF922E2E"/>
      <color rgb="FFAA4F40"/>
      <color rgb="FFB05242"/>
      <color rgb="FFB34D4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eetMetadata" Target="metadata.xml"/><Relationship Id="rId28" Type="http://schemas.openxmlformats.org/officeDocument/2006/relationships/customXml" Target="../customXml/item4.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 Id="rId27"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6</xdr:col>
      <xdr:colOff>76200</xdr:colOff>
      <xdr:row>18</xdr:row>
      <xdr:rowOff>85725</xdr:rowOff>
    </xdr:from>
    <xdr:to>
      <xdr:col>9</xdr:col>
      <xdr:colOff>85725</xdr:colOff>
      <xdr:row>20</xdr:row>
      <xdr:rowOff>47625</xdr:rowOff>
    </xdr:to>
    <xdr:sp macro="[0]!CalculateYield" textlink="">
      <xdr:nvSpPr>
        <xdr:cNvPr id="2" name="Rectangle 2">
          <a:extLst>
            <a:ext uri="{FF2B5EF4-FFF2-40B4-BE49-F238E27FC236}">
              <a16:creationId xmlns:a16="http://schemas.microsoft.com/office/drawing/2014/main" id="{00000000-0008-0000-1300-000002000000}"/>
            </a:ext>
          </a:extLst>
        </xdr:cNvPr>
        <xdr:cNvSpPr>
          <a:spLocks noChangeArrowheads="1"/>
        </xdr:cNvSpPr>
      </xdr:nvSpPr>
      <xdr:spPr bwMode="auto">
        <a:xfrm>
          <a:off x="3733800" y="4714875"/>
          <a:ext cx="1838325" cy="476250"/>
        </a:xfrm>
        <a:prstGeom prst="rect">
          <a:avLst/>
        </a:prstGeom>
        <a:solidFill>
          <a:srgbClr xmlns:mc="http://schemas.openxmlformats.org/markup-compatibility/2006" xmlns:a14="http://schemas.microsoft.com/office/drawing/2010/main" val="C0C0C0" mc:Ignorable="a14" a14:legacySpreadsheetColorIndex="22"/>
        </a:solidFill>
        <a:ln w="25400">
          <a:solidFill>
            <a:srgbClr xmlns:mc="http://schemas.openxmlformats.org/markup-compatibility/2006" xmlns:a14="http://schemas.microsoft.com/office/drawing/2010/main" val="800000" mc:Ignorable="a14" a14:legacySpreadsheetColorIndex="16"/>
          </a:solidFill>
          <a:miter lim="800000"/>
          <a:headEnd/>
          <a:tailEnd/>
        </a:ln>
      </xdr:spPr>
      <xdr:txBody>
        <a:bodyPr vertOverflow="clip" wrap="square" lIns="36576" tIns="27432" rIns="36576" bIns="27432" anchor="ctr" upright="1"/>
        <a:lstStyle/>
        <a:p>
          <a:pPr algn="ctr" rtl="0">
            <a:defRPr sz="1000"/>
          </a:pPr>
          <a:r>
            <a:rPr lang="en-GB" sz="1400" b="1" i="0" u="none" strike="noStrike" baseline="0">
              <a:solidFill>
                <a:srgbClr val="000000"/>
              </a:solidFill>
              <a:latin typeface="Arial"/>
              <a:cs typeface="Arial"/>
            </a:rPr>
            <a:t>Calculate Population Yield</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85725</xdr:colOff>
      <xdr:row>28</xdr:row>
      <xdr:rowOff>38100</xdr:rowOff>
    </xdr:from>
    <xdr:to>
      <xdr:col>7</xdr:col>
      <xdr:colOff>523875</xdr:colOff>
      <xdr:row>29</xdr:row>
      <xdr:rowOff>247650</xdr:rowOff>
    </xdr:to>
    <xdr:sp macro="[0]!Printpages" textlink="">
      <xdr:nvSpPr>
        <xdr:cNvPr id="2" name="Rectangle 6">
          <a:extLst>
            <a:ext uri="{FF2B5EF4-FFF2-40B4-BE49-F238E27FC236}">
              <a16:creationId xmlns:a16="http://schemas.microsoft.com/office/drawing/2014/main" id="{00000000-0008-0000-1400-000002000000}"/>
            </a:ext>
          </a:extLst>
        </xdr:cNvPr>
        <xdr:cNvSpPr>
          <a:spLocks noChangeArrowheads="1"/>
        </xdr:cNvSpPr>
      </xdr:nvSpPr>
      <xdr:spPr bwMode="auto">
        <a:xfrm>
          <a:off x="3133725" y="7239000"/>
          <a:ext cx="1657350" cy="466725"/>
        </a:xfrm>
        <a:prstGeom prst="rect">
          <a:avLst/>
        </a:prstGeom>
        <a:solidFill>
          <a:srgbClr xmlns:mc="http://schemas.openxmlformats.org/markup-compatibility/2006" xmlns:a14="http://schemas.microsoft.com/office/drawing/2010/main" val="C0C0C0" mc:Ignorable="a14" a14:legacySpreadsheetColorIndex="22"/>
        </a:solidFill>
        <a:ln w="25400" algn="ctr">
          <a:solidFill>
            <a:srgbClr xmlns:mc="http://schemas.openxmlformats.org/markup-compatibility/2006" xmlns:a14="http://schemas.microsoft.com/office/drawing/2010/main" val="800000" mc:Ignorable="a14" a14:legacySpreadsheetColorIndex="16"/>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45720" tIns="36576" rIns="45720" bIns="36576" anchor="ctr" upright="1"/>
        <a:lstStyle/>
        <a:p>
          <a:pPr algn="ctr" rtl="0">
            <a:defRPr sz="1000"/>
          </a:pPr>
          <a:r>
            <a:rPr lang="en-GB" sz="1800" b="1" i="0" u="none" strike="noStrike" baseline="0">
              <a:solidFill>
                <a:srgbClr val="000000"/>
              </a:solidFill>
              <a:latin typeface="Arial"/>
              <a:cs typeface="Arial"/>
            </a:rPr>
            <a:t>Print Results</a:t>
          </a:r>
        </a:p>
      </xdr:txBody>
    </xdr:sp>
    <xdr:clientData/>
  </xdr:twoCellAnchor>
</xdr:wsDr>
</file>

<file path=xl/theme/theme1.xml><?xml version="1.0" encoding="utf-8"?>
<a:theme xmlns:a="http://schemas.openxmlformats.org/drawingml/2006/main" name="Office Theme">
  <a:themeElements>
    <a:clrScheme name="Waveform">
      <a:dk1>
        <a:sysClr val="windowText" lastClr="000000"/>
      </a:dk1>
      <a:lt1>
        <a:sysClr val="window" lastClr="FFFFFF"/>
      </a:lt1>
      <a:dk2>
        <a:srgbClr val="073E87"/>
      </a:dk2>
      <a:lt2>
        <a:srgbClr val="C6E7FC"/>
      </a:lt2>
      <a:accent1>
        <a:srgbClr val="31B6FD"/>
      </a:accent1>
      <a:accent2>
        <a:srgbClr val="4584D3"/>
      </a:accent2>
      <a:accent3>
        <a:srgbClr val="5BD078"/>
      </a:accent3>
      <a:accent4>
        <a:srgbClr val="A5D028"/>
      </a:accent4>
      <a:accent5>
        <a:srgbClr val="F5C040"/>
      </a:accent5>
      <a:accent6>
        <a:srgbClr val="05E0DB"/>
      </a:accent6>
      <a:hlink>
        <a:srgbClr val="0080FF"/>
      </a:hlink>
      <a:folHlink>
        <a:srgbClr val="5EAEFF"/>
      </a:folHlink>
    </a:clrScheme>
    <a:fontScheme name="Wandsworth Local Plan">
      <a:majorFont>
        <a:latin typeface="Tahoma"/>
        <a:ea typeface=""/>
        <a:cs typeface=""/>
      </a:majorFont>
      <a:minorFont>
        <a:latin typeface="Tahoma"/>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wandsworthplanningpolicy@richmondandwandsworth.gov.uk"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maps.wandsworth.gov.uk/"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www.wandsworth.gov.uk/info/1004/planning_policy/479/order_paper_copies_of_our_publications"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autoPageBreaks="0"/>
  </sheetPr>
  <dimension ref="B2:Q56"/>
  <sheetViews>
    <sheetView workbookViewId="0">
      <selection activeCell="U11" sqref="U11"/>
    </sheetView>
  </sheetViews>
  <sheetFormatPr defaultRowHeight="12.5" x14ac:dyDescent="0.25"/>
  <cols>
    <col min="1" max="2" width="2.7265625" customWidth="1"/>
    <col min="3" max="3" width="9.1796875" style="51"/>
    <col min="17" max="17" width="2.7265625" customWidth="1"/>
  </cols>
  <sheetData>
    <row r="2" spans="2:17" x14ac:dyDescent="0.25">
      <c r="B2" s="73"/>
      <c r="C2" s="88"/>
      <c r="D2" s="74"/>
      <c r="E2" s="74"/>
      <c r="F2" s="74"/>
      <c r="G2" s="74"/>
      <c r="H2" s="74"/>
      <c r="I2" s="74"/>
      <c r="J2" s="74"/>
      <c r="K2" s="74"/>
      <c r="L2" s="74"/>
      <c r="M2" s="74"/>
      <c r="N2" s="74"/>
      <c r="O2" s="74"/>
      <c r="P2" s="74"/>
      <c r="Q2" s="75"/>
    </row>
    <row r="3" spans="2:17" ht="19" thickBot="1" x14ac:dyDescent="0.4">
      <c r="B3" s="78"/>
      <c r="C3" s="89" t="s">
        <v>2</v>
      </c>
      <c r="D3" s="79"/>
      <c r="E3" s="79"/>
      <c r="F3" s="79"/>
      <c r="G3" s="79"/>
      <c r="H3" s="79"/>
      <c r="I3" s="79"/>
      <c r="J3" s="79"/>
      <c r="K3" s="79"/>
      <c r="L3" s="79"/>
      <c r="M3" s="79"/>
      <c r="N3" s="79"/>
      <c r="O3" s="79"/>
      <c r="P3" s="79"/>
      <c r="Q3" s="80"/>
    </row>
    <row r="4" spans="2:17" ht="7" customHeight="1" thickTop="1" x14ac:dyDescent="0.25">
      <c r="B4" s="76"/>
      <c r="C4"/>
      <c r="Q4" s="77"/>
    </row>
    <row r="5" spans="2:17" ht="16" x14ac:dyDescent="0.3">
      <c r="B5" s="76"/>
      <c r="C5" s="3" t="s">
        <v>24</v>
      </c>
      <c r="Q5" s="77"/>
    </row>
    <row r="6" spans="2:17" x14ac:dyDescent="0.25">
      <c r="B6" s="76"/>
      <c r="Q6" s="77"/>
    </row>
    <row r="7" spans="2:17" ht="25.5" customHeight="1" x14ac:dyDescent="0.25">
      <c r="B7" s="76"/>
      <c r="C7" s="90" t="str">
        <f>1&amp;"."</f>
        <v>1.</v>
      </c>
      <c r="D7" s="225" t="s">
        <v>332</v>
      </c>
      <c r="E7" s="225"/>
      <c r="F7" s="225"/>
      <c r="G7" s="225"/>
      <c r="H7" s="225"/>
      <c r="I7" s="225"/>
      <c r="J7" s="225"/>
      <c r="K7" s="225"/>
      <c r="L7" s="225"/>
      <c r="M7" s="225"/>
      <c r="N7" s="225"/>
      <c r="O7" s="225"/>
      <c r="P7" s="225"/>
      <c r="Q7" s="77"/>
    </row>
    <row r="8" spans="2:17" ht="15.5" customHeight="1" x14ac:dyDescent="0.25">
      <c r="B8" s="76"/>
      <c r="C8" s="90"/>
      <c r="D8" s="225"/>
      <c r="E8" s="225"/>
      <c r="F8" s="225"/>
      <c r="G8" s="225"/>
      <c r="H8" s="225"/>
      <c r="I8" s="225"/>
      <c r="J8" s="225"/>
      <c r="K8" s="225"/>
      <c r="L8" s="225"/>
      <c r="M8" s="225"/>
      <c r="N8" s="225"/>
      <c r="O8" s="225"/>
      <c r="P8" s="225"/>
      <c r="Q8" s="77"/>
    </row>
    <row r="9" spans="2:17" x14ac:dyDescent="0.25">
      <c r="B9" s="76"/>
      <c r="C9" s="91"/>
      <c r="D9" s="220"/>
      <c r="E9" s="220"/>
      <c r="F9" s="220"/>
      <c r="G9" s="220"/>
      <c r="H9" s="220"/>
      <c r="I9" s="220"/>
      <c r="J9" s="220"/>
      <c r="K9" s="220"/>
      <c r="L9" s="220"/>
      <c r="M9" s="220"/>
      <c r="N9" s="220"/>
      <c r="O9" s="220"/>
      <c r="P9" s="220"/>
      <c r="Q9" s="77"/>
    </row>
    <row r="10" spans="2:17" ht="25.5" customHeight="1" x14ac:dyDescent="0.25">
      <c r="B10" s="76"/>
      <c r="C10" s="90" t="str">
        <f>(C7+1)&amp;"."</f>
        <v>2.</v>
      </c>
      <c r="D10" s="220" t="s">
        <v>333</v>
      </c>
      <c r="E10" s="220"/>
      <c r="F10" s="220"/>
      <c r="G10" s="220"/>
      <c r="H10" s="220"/>
      <c r="I10" s="220"/>
      <c r="J10" s="220"/>
      <c r="K10" s="220"/>
      <c r="L10" s="220"/>
      <c r="M10" s="220"/>
      <c r="N10" s="220"/>
      <c r="O10" s="220"/>
      <c r="P10" s="220"/>
      <c r="Q10" s="77"/>
    </row>
    <row r="11" spans="2:17" x14ac:dyDescent="0.25">
      <c r="B11" s="76"/>
      <c r="C11" s="91"/>
      <c r="D11" s="220"/>
      <c r="E11" s="220"/>
      <c r="F11" s="220"/>
      <c r="G11" s="220"/>
      <c r="H11" s="220"/>
      <c r="I11" s="220"/>
      <c r="J11" s="220"/>
      <c r="K11" s="220"/>
      <c r="L11" s="220"/>
      <c r="M11" s="220"/>
      <c r="N11" s="220"/>
      <c r="O11" s="220"/>
      <c r="P11" s="220"/>
      <c r="Q11" s="77"/>
    </row>
    <row r="12" spans="2:17" ht="12.5" customHeight="1" x14ac:dyDescent="0.25">
      <c r="B12" s="76"/>
      <c r="C12" s="90" t="str">
        <f>(C10+1)&amp;"."</f>
        <v>3.</v>
      </c>
      <c r="D12" s="225" t="s">
        <v>334</v>
      </c>
      <c r="E12" s="225"/>
      <c r="F12" s="225"/>
      <c r="G12" s="225"/>
      <c r="H12" s="225"/>
      <c r="I12" s="225"/>
      <c r="J12" s="225"/>
      <c r="K12" s="225"/>
      <c r="L12" s="225"/>
      <c r="M12" s="225"/>
      <c r="N12" s="225"/>
      <c r="O12" s="225"/>
      <c r="P12" s="225"/>
      <c r="Q12" s="77"/>
    </row>
    <row r="13" spans="2:17" x14ac:dyDescent="0.25">
      <c r="B13" s="76"/>
      <c r="C13" s="90"/>
      <c r="D13" s="225"/>
      <c r="E13" s="225"/>
      <c r="F13" s="225"/>
      <c r="G13" s="225"/>
      <c r="H13" s="225"/>
      <c r="I13" s="225"/>
      <c r="J13" s="225"/>
      <c r="K13" s="225"/>
      <c r="L13" s="225"/>
      <c r="M13" s="225"/>
      <c r="N13" s="225"/>
      <c r="O13" s="225"/>
      <c r="P13" s="225"/>
      <c r="Q13" s="77"/>
    </row>
    <row r="14" spans="2:17" x14ac:dyDescent="0.25">
      <c r="B14" s="76"/>
      <c r="C14" s="91"/>
      <c r="D14" s="220"/>
      <c r="E14" s="220"/>
      <c r="F14" s="220"/>
      <c r="G14" s="220"/>
      <c r="H14" s="220"/>
      <c r="I14" s="220"/>
      <c r="J14" s="220"/>
      <c r="K14" s="220"/>
      <c r="L14" s="220"/>
      <c r="M14" s="220"/>
      <c r="N14" s="220"/>
      <c r="O14" s="220"/>
      <c r="P14" s="220"/>
      <c r="Q14" s="77"/>
    </row>
    <row r="15" spans="2:17" ht="25.5" customHeight="1" x14ac:dyDescent="0.25">
      <c r="B15" s="76"/>
      <c r="C15" s="90" t="str">
        <f>(C12+1)&amp;"."</f>
        <v>4.</v>
      </c>
      <c r="D15" s="220" t="s">
        <v>335</v>
      </c>
      <c r="E15" s="220"/>
      <c r="F15" s="220"/>
      <c r="G15" s="220"/>
      <c r="H15" s="220"/>
      <c r="I15" s="220"/>
      <c r="J15" s="220"/>
      <c r="K15" s="220"/>
      <c r="L15" s="220"/>
      <c r="M15" s="220"/>
      <c r="N15" s="220"/>
      <c r="O15" s="220"/>
      <c r="P15" s="220"/>
      <c r="Q15" s="77"/>
    </row>
    <row r="16" spans="2:17" ht="13" customHeight="1" x14ac:dyDescent="0.25">
      <c r="B16" s="76"/>
      <c r="C16" s="90"/>
      <c r="D16" s="5"/>
      <c r="E16" s="5"/>
      <c r="F16" s="5"/>
      <c r="G16" s="5"/>
      <c r="H16" s="5"/>
      <c r="I16" s="5"/>
      <c r="J16" s="5"/>
      <c r="K16" s="5"/>
      <c r="L16" s="5"/>
      <c r="M16" s="5"/>
      <c r="N16" s="5"/>
      <c r="O16" s="5"/>
      <c r="P16" s="5"/>
      <c r="Q16" s="77"/>
    </row>
    <row r="17" spans="2:17" ht="15" customHeight="1" x14ac:dyDescent="0.25">
      <c r="B17" s="76"/>
      <c r="C17" s="90">
        <v>5</v>
      </c>
      <c r="D17" s="225" t="s">
        <v>336</v>
      </c>
      <c r="E17" s="225"/>
      <c r="F17" s="225"/>
      <c r="G17" s="225"/>
      <c r="H17" s="225"/>
      <c r="I17" s="225"/>
      <c r="J17" s="225"/>
      <c r="K17" s="225"/>
      <c r="L17" s="225"/>
      <c r="M17" s="225"/>
      <c r="N17" s="225"/>
      <c r="O17" s="225"/>
      <c r="P17" s="225"/>
      <c r="Q17" s="77"/>
    </row>
    <row r="18" spans="2:17" ht="25.5" customHeight="1" x14ac:dyDescent="0.25">
      <c r="B18" s="76"/>
      <c r="C18" s="90"/>
      <c r="D18" s="225"/>
      <c r="E18" s="225"/>
      <c r="F18" s="225"/>
      <c r="G18" s="225"/>
      <c r="H18" s="225"/>
      <c r="I18" s="225"/>
      <c r="J18" s="225"/>
      <c r="K18" s="225"/>
      <c r="L18" s="225"/>
      <c r="M18" s="225"/>
      <c r="N18" s="225"/>
      <c r="O18" s="225"/>
      <c r="P18" s="225"/>
      <c r="Q18" s="77"/>
    </row>
    <row r="19" spans="2:17" ht="21.5" customHeight="1" x14ac:dyDescent="0.25">
      <c r="B19" s="76"/>
      <c r="C19" s="90"/>
      <c r="D19" s="225"/>
      <c r="E19" s="225"/>
      <c r="F19" s="225"/>
      <c r="G19" s="225"/>
      <c r="H19" s="225"/>
      <c r="I19" s="225"/>
      <c r="J19" s="225"/>
      <c r="K19" s="225"/>
      <c r="L19" s="225"/>
      <c r="M19" s="225"/>
      <c r="N19" s="225"/>
      <c r="O19" s="225"/>
      <c r="P19" s="225"/>
      <c r="Q19" s="77"/>
    </row>
    <row r="20" spans="2:17" x14ac:dyDescent="0.25">
      <c r="B20" s="76"/>
      <c r="C20" s="91"/>
      <c r="D20" s="220"/>
      <c r="E20" s="220"/>
      <c r="F20" s="220"/>
      <c r="G20" s="220"/>
      <c r="H20" s="220"/>
      <c r="I20" s="220"/>
      <c r="J20" s="220"/>
      <c r="K20" s="220"/>
      <c r="L20" s="220"/>
      <c r="M20" s="220"/>
      <c r="N20" s="220"/>
      <c r="O20" s="220"/>
      <c r="P20" s="220"/>
      <c r="Q20" s="77"/>
    </row>
    <row r="21" spans="2:17" ht="9" customHeight="1" x14ac:dyDescent="0.25">
      <c r="B21" s="73"/>
      <c r="C21" s="93"/>
      <c r="D21" s="94"/>
      <c r="E21" s="94"/>
      <c r="F21" s="94"/>
      <c r="G21" s="94"/>
      <c r="H21" s="94"/>
      <c r="I21" s="94"/>
      <c r="J21" s="94"/>
      <c r="K21" s="94"/>
      <c r="L21" s="94"/>
      <c r="M21" s="94"/>
      <c r="N21" s="94"/>
      <c r="O21" s="94"/>
      <c r="P21" s="94"/>
      <c r="Q21" s="75"/>
    </row>
    <row r="22" spans="2:17" ht="16" x14ac:dyDescent="0.25">
      <c r="B22" s="76"/>
      <c r="C22" s="201" t="s">
        <v>25</v>
      </c>
      <c r="D22" s="5"/>
      <c r="E22" s="5"/>
      <c r="F22" s="5"/>
      <c r="G22" s="5"/>
      <c r="H22" s="5"/>
      <c r="I22" s="5"/>
      <c r="J22" s="5"/>
      <c r="K22" s="5"/>
      <c r="L22" s="5"/>
      <c r="M22" s="5"/>
      <c r="N22" s="5"/>
      <c r="O22" s="5"/>
      <c r="P22" s="5"/>
      <c r="Q22" s="77"/>
    </row>
    <row r="23" spans="2:17" x14ac:dyDescent="0.25">
      <c r="B23" s="76"/>
      <c r="C23" s="91"/>
      <c r="D23" s="5"/>
      <c r="E23" s="5"/>
      <c r="F23" s="5"/>
      <c r="G23" s="5"/>
      <c r="H23" s="5"/>
      <c r="I23" s="5"/>
      <c r="J23" s="5"/>
      <c r="K23" s="5"/>
      <c r="L23" s="5"/>
      <c r="M23" s="5"/>
      <c r="N23" s="5"/>
      <c r="O23" s="5"/>
      <c r="P23" s="5"/>
      <c r="Q23" s="77"/>
    </row>
    <row r="24" spans="2:17" ht="13" customHeight="1" x14ac:dyDescent="0.25">
      <c r="B24" s="76"/>
      <c r="C24" s="90" t="str">
        <f>(C15+1)&amp;"."</f>
        <v>5.</v>
      </c>
      <c r="D24" s="222" t="s">
        <v>26</v>
      </c>
      <c r="E24" s="222"/>
      <c r="F24" s="222"/>
      <c r="G24" s="222"/>
      <c r="H24" s="222"/>
      <c r="I24" s="222"/>
      <c r="J24" s="222"/>
      <c r="K24" s="222"/>
      <c r="L24" s="222"/>
      <c r="M24" s="222"/>
      <c r="N24" s="5"/>
      <c r="O24" s="221" t="s">
        <v>27</v>
      </c>
      <c r="P24" s="221"/>
      <c r="Q24" s="77"/>
    </row>
    <row r="25" spans="2:17" x14ac:dyDescent="0.25">
      <c r="B25" s="76"/>
      <c r="C25" s="91"/>
      <c r="D25" s="220"/>
      <c r="E25" s="220"/>
      <c r="F25" s="220"/>
      <c r="G25" s="220"/>
      <c r="H25" s="220"/>
      <c r="I25" s="220"/>
      <c r="J25" s="220"/>
      <c r="K25" s="220"/>
      <c r="L25" s="220"/>
      <c r="M25" s="220"/>
      <c r="N25" s="220"/>
      <c r="O25" s="220"/>
      <c r="P25" s="220"/>
      <c r="Q25" s="77"/>
    </row>
    <row r="26" spans="2:17" ht="13" customHeight="1" x14ac:dyDescent="0.25">
      <c r="B26" s="76"/>
      <c r="C26" s="90" t="str">
        <f>(C24+1)&amp;"."</f>
        <v>6.</v>
      </c>
      <c r="D26" s="222" t="s">
        <v>28</v>
      </c>
      <c r="E26" s="222"/>
      <c r="F26" s="222"/>
      <c r="G26" s="222"/>
      <c r="H26" s="222"/>
      <c r="I26" s="222"/>
      <c r="J26" s="222"/>
      <c r="K26" s="222"/>
      <c r="L26" s="222"/>
      <c r="M26" s="222"/>
      <c r="N26" s="222"/>
      <c r="O26" s="223" t="s">
        <v>29</v>
      </c>
      <c r="P26" s="223"/>
      <c r="Q26" s="77"/>
    </row>
    <row r="27" spans="2:17" x14ac:dyDescent="0.25">
      <c r="B27" s="76"/>
      <c r="C27" s="90"/>
      <c r="D27" s="5"/>
      <c r="E27" s="5"/>
      <c r="F27" s="5"/>
      <c r="G27" s="5"/>
      <c r="H27" s="5"/>
      <c r="I27" s="5"/>
      <c r="J27" s="5"/>
      <c r="K27" s="5"/>
      <c r="L27" s="5"/>
      <c r="M27" s="5"/>
      <c r="N27" s="5"/>
      <c r="O27" s="5"/>
      <c r="P27" s="5"/>
      <c r="Q27" s="77"/>
    </row>
    <row r="28" spans="2:17" x14ac:dyDescent="0.25">
      <c r="B28" s="76"/>
      <c r="C28" s="90" t="str">
        <f>(C26+1)&amp;"."</f>
        <v>7.</v>
      </c>
      <c r="D28" s="222" t="s">
        <v>30</v>
      </c>
      <c r="E28" s="222"/>
      <c r="F28" s="222"/>
      <c r="G28" s="222"/>
      <c r="H28" s="222"/>
      <c r="I28" s="222"/>
      <c r="J28" s="222"/>
      <c r="K28" s="222"/>
      <c r="L28" s="222"/>
      <c r="O28" s="224" t="s">
        <v>31</v>
      </c>
      <c r="P28" s="224"/>
      <c r="Q28" s="77"/>
    </row>
    <row r="29" spans="2:17" x14ac:dyDescent="0.25">
      <c r="B29" s="76"/>
      <c r="C29" s="90"/>
      <c r="D29" s="5"/>
      <c r="E29" s="5"/>
      <c r="F29" s="5"/>
      <c r="G29" s="5"/>
      <c r="H29" s="5"/>
      <c r="I29" s="5"/>
      <c r="J29" s="5"/>
      <c r="K29" s="5"/>
      <c r="L29" s="5"/>
      <c r="M29" s="5"/>
      <c r="N29" s="5"/>
      <c r="O29" s="5"/>
      <c r="P29" s="5"/>
      <c r="Q29" s="77"/>
    </row>
    <row r="30" spans="2:17" x14ac:dyDescent="0.25">
      <c r="B30" s="76"/>
      <c r="C30" s="90" t="str">
        <f>(C28+1)&amp;"."</f>
        <v>8.</v>
      </c>
      <c r="D30" s="220" t="s">
        <v>32</v>
      </c>
      <c r="E30" s="220"/>
      <c r="F30" s="220"/>
      <c r="G30" s="220"/>
      <c r="H30" s="220"/>
      <c r="I30" s="220"/>
      <c r="J30" s="220"/>
      <c r="K30" s="220"/>
      <c r="L30" s="220"/>
      <c r="M30" s="220"/>
      <c r="N30" s="220"/>
      <c r="O30" s="220"/>
      <c r="P30" s="220"/>
      <c r="Q30" s="77"/>
    </row>
    <row r="31" spans="2:17" x14ac:dyDescent="0.25">
      <c r="B31" s="76"/>
      <c r="C31" s="91"/>
      <c r="D31" s="220"/>
      <c r="E31" s="220"/>
      <c r="F31" s="220"/>
      <c r="G31" s="220"/>
      <c r="H31" s="220"/>
      <c r="I31" s="220"/>
      <c r="J31" s="220"/>
      <c r="K31" s="220"/>
      <c r="L31" s="220"/>
      <c r="M31" s="220"/>
      <c r="N31" s="220"/>
      <c r="O31" s="220"/>
      <c r="P31" s="220"/>
      <c r="Q31" s="77"/>
    </row>
    <row r="32" spans="2:17" x14ac:dyDescent="0.25">
      <c r="B32" s="76"/>
      <c r="C32" s="90" t="str">
        <f>(C30+1)&amp;"."</f>
        <v>9.</v>
      </c>
      <c r="D32" s="220" t="s">
        <v>321</v>
      </c>
      <c r="E32" s="220"/>
      <c r="F32" s="220"/>
      <c r="G32" s="220"/>
      <c r="H32" s="220"/>
      <c r="I32" s="220"/>
      <c r="J32" s="220"/>
      <c r="K32" s="220"/>
      <c r="L32" s="220"/>
      <c r="M32" s="220"/>
      <c r="N32" s="220"/>
      <c r="O32" s="220"/>
      <c r="P32" s="220"/>
      <c r="Q32" s="77"/>
    </row>
    <row r="33" spans="2:17" x14ac:dyDescent="0.25">
      <c r="B33" s="76"/>
      <c r="C33" s="90"/>
      <c r="D33" s="5"/>
      <c r="E33" s="5"/>
      <c r="F33" s="5"/>
      <c r="G33" s="5"/>
      <c r="H33" s="5"/>
      <c r="I33" s="5"/>
      <c r="J33" s="5"/>
      <c r="K33" s="5"/>
      <c r="L33" s="5"/>
      <c r="M33" s="5"/>
      <c r="N33" s="5"/>
      <c r="O33" s="5"/>
      <c r="P33" s="5"/>
      <c r="Q33" s="77"/>
    </row>
    <row r="34" spans="2:17" ht="8.5" customHeight="1" x14ac:dyDescent="0.25">
      <c r="B34" s="73"/>
      <c r="C34" s="95"/>
      <c r="D34" s="94"/>
      <c r="E34" s="94"/>
      <c r="F34" s="94"/>
      <c r="G34" s="94"/>
      <c r="H34" s="94"/>
      <c r="I34" s="94"/>
      <c r="J34" s="94"/>
      <c r="K34" s="94"/>
      <c r="L34" s="94"/>
      <c r="M34" s="94"/>
      <c r="N34" s="94"/>
      <c r="O34" s="94"/>
      <c r="P34" s="94"/>
      <c r="Q34" s="75"/>
    </row>
    <row r="35" spans="2:17" ht="16" x14ac:dyDescent="0.25">
      <c r="B35" s="76"/>
      <c r="C35" s="203" t="s">
        <v>33</v>
      </c>
      <c r="D35" s="5"/>
      <c r="E35" s="5"/>
      <c r="F35" s="5"/>
      <c r="G35" s="5"/>
      <c r="H35" s="5"/>
      <c r="I35" s="5"/>
      <c r="J35" s="5"/>
      <c r="K35" s="5"/>
      <c r="L35" s="5"/>
      <c r="M35" s="5"/>
      <c r="N35" s="5"/>
      <c r="O35" s="5"/>
      <c r="P35" s="5"/>
      <c r="Q35" s="77"/>
    </row>
    <row r="36" spans="2:17" x14ac:dyDescent="0.25">
      <c r="B36" s="76"/>
      <c r="C36" s="90"/>
      <c r="D36" s="5"/>
      <c r="E36" s="5"/>
      <c r="F36" s="5"/>
      <c r="G36" s="5"/>
      <c r="H36" s="5"/>
      <c r="I36" s="5"/>
      <c r="J36" s="5"/>
      <c r="K36" s="5"/>
      <c r="L36" s="5"/>
      <c r="M36" s="5"/>
      <c r="N36" s="5"/>
      <c r="O36" s="5"/>
      <c r="P36" s="5"/>
      <c r="Q36" s="77"/>
    </row>
    <row r="37" spans="2:17" ht="25.5" customHeight="1" x14ac:dyDescent="0.25">
      <c r="B37" s="76"/>
      <c r="C37" s="90" t="str">
        <f>(C32+1)&amp;"."</f>
        <v>10.</v>
      </c>
      <c r="D37" s="225" t="s">
        <v>337</v>
      </c>
      <c r="E37" s="225"/>
      <c r="F37" s="225"/>
      <c r="G37" s="225"/>
      <c r="H37" s="225"/>
      <c r="I37" s="225"/>
      <c r="J37" s="225"/>
      <c r="K37" s="225"/>
      <c r="L37" s="225"/>
      <c r="M37" s="225"/>
      <c r="N37" s="225"/>
      <c r="O37" s="225"/>
      <c r="P37" s="225"/>
      <c r="Q37" s="77"/>
    </row>
    <row r="38" spans="2:17" ht="25.5" customHeight="1" x14ac:dyDescent="0.25">
      <c r="B38" s="76"/>
      <c r="C38" s="90"/>
      <c r="D38" s="225"/>
      <c r="E38" s="225"/>
      <c r="F38" s="225"/>
      <c r="G38" s="225"/>
      <c r="H38" s="225"/>
      <c r="I38" s="225"/>
      <c r="J38" s="225"/>
      <c r="K38" s="225"/>
      <c r="L38" s="225"/>
      <c r="M38" s="225"/>
      <c r="N38" s="225"/>
      <c r="O38" s="225"/>
      <c r="P38" s="225"/>
      <c r="Q38" s="77"/>
    </row>
    <row r="39" spans="2:17" x14ac:dyDescent="0.25">
      <c r="B39" s="76"/>
      <c r="C39" s="90"/>
      <c r="D39" s="5"/>
      <c r="E39" s="5"/>
      <c r="F39" s="5"/>
      <c r="G39" s="5"/>
      <c r="H39" s="5"/>
      <c r="I39" s="5"/>
      <c r="J39" s="5"/>
      <c r="K39" s="5"/>
      <c r="L39" s="5"/>
      <c r="M39" s="5"/>
      <c r="N39" s="5"/>
      <c r="O39" s="5"/>
      <c r="P39" s="5"/>
      <c r="Q39" s="77"/>
    </row>
    <row r="40" spans="2:17" ht="9" customHeight="1" x14ac:dyDescent="0.25">
      <c r="B40" s="73"/>
      <c r="C40" s="93"/>
      <c r="D40" s="96"/>
      <c r="E40" s="96"/>
      <c r="F40" s="96"/>
      <c r="G40" s="96"/>
      <c r="H40" s="96"/>
      <c r="I40" s="96"/>
      <c r="J40" s="96"/>
      <c r="K40" s="96"/>
      <c r="L40" s="96"/>
      <c r="M40" s="96"/>
      <c r="N40" s="96"/>
      <c r="O40" s="96"/>
      <c r="P40" s="96"/>
      <c r="Q40" s="75"/>
    </row>
    <row r="41" spans="2:17" ht="16" x14ac:dyDescent="0.25">
      <c r="B41" s="76"/>
      <c r="C41" s="201" t="s">
        <v>34</v>
      </c>
      <c r="D41" s="202"/>
      <c r="E41" s="202"/>
      <c r="F41" s="202"/>
      <c r="G41" s="202"/>
      <c r="H41" s="202"/>
      <c r="I41" s="202"/>
      <c r="J41" s="202"/>
      <c r="K41" s="202"/>
      <c r="L41" s="202"/>
      <c r="M41" s="202"/>
      <c r="N41" s="202"/>
      <c r="O41" s="202"/>
      <c r="P41" s="202"/>
      <c r="Q41" s="77"/>
    </row>
    <row r="42" spans="2:17" x14ac:dyDescent="0.25">
      <c r="B42" s="76"/>
      <c r="C42" s="91"/>
      <c r="D42" s="220"/>
      <c r="E42" s="220"/>
      <c r="F42" s="220"/>
      <c r="G42" s="220"/>
      <c r="H42" s="220"/>
      <c r="I42" s="220"/>
      <c r="J42" s="220"/>
      <c r="K42" s="220"/>
      <c r="L42" s="220"/>
      <c r="M42" s="220"/>
      <c r="N42" s="220"/>
      <c r="O42" s="220"/>
      <c r="P42" s="220"/>
      <c r="Q42" s="77"/>
    </row>
    <row r="43" spans="2:17" x14ac:dyDescent="0.25">
      <c r="B43" s="76"/>
      <c r="C43" s="90" t="str">
        <f>(C37+1)&amp;"."</f>
        <v>11.</v>
      </c>
      <c r="D43" s="6" t="s">
        <v>339</v>
      </c>
      <c r="E43" s="6"/>
      <c r="F43" s="6"/>
      <c r="G43" s="6"/>
      <c r="H43" s="6"/>
      <c r="I43" s="6"/>
      <c r="J43" s="6"/>
      <c r="K43" s="6"/>
      <c r="L43" s="6"/>
      <c r="O43" s="6"/>
      <c r="P43" s="6"/>
      <c r="Q43" s="77"/>
    </row>
    <row r="44" spans="2:17" x14ac:dyDescent="0.25">
      <c r="B44" s="76"/>
      <c r="Q44" s="77"/>
    </row>
    <row r="45" spans="2:17" x14ac:dyDescent="0.25">
      <c r="B45" s="76"/>
      <c r="D45" t="s">
        <v>35</v>
      </c>
      <c r="E45" s="452" t="s">
        <v>338</v>
      </c>
      <c r="F45" s="452"/>
      <c r="G45" s="452"/>
      <c r="H45" s="452"/>
      <c r="I45" s="452"/>
      <c r="J45" s="452"/>
      <c r="K45" s="452"/>
      <c r="Q45" s="77"/>
    </row>
    <row r="46" spans="2:17" x14ac:dyDescent="0.25">
      <c r="B46" s="84"/>
      <c r="C46" s="92"/>
      <c r="D46" s="85"/>
      <c r="E46" s="85"/>
      <c r="F46" s="85"/>
      <c r="G46" s="85"/>
      <c r="H46" s="85"/>
      <c r="I46" s="85"/>
      <c r="J46" s="85"/>
      <c r="K46" s="85"/>
      <c r="L46" s="85"/>
      <c r="M46" s="85"/>
      <c r="N46" s="85"/>
      <c r="O46" s="85"/>
      <c r="P46" s="85"/>
      <c r="Q46" s="86"/>
    </row>
    <row r="49" spans="3:13" x14ac:dyDescent="0.25">
      <c r="M49" s="6"/>
    </row>
    <row r="56" spans="3:13" x14ac:dyDescent="0.25">
      <c r="C56" s="146"/>
    </row>
  </sheetData>
  <sheetProtection selectLockedCells="1"/>
  <mergeCells count="22">
    <mergeCell ref="E45:K45"/>
    <mergeCell ref="D9:P9"/>
    <mergeCell ref="D10:P10"/>
    <mergeCell ref="D11:P11"/>
    <mergeCell ref="D7:P8"/>
    <mergeCell ref="D12:P13"/>
    <mergeCell ref="D14:P14"/>
    <mergeCell ref="O24:P24"/>
    <mergeCell ref="D24:M24"/>
    <mergeCell ref="D42:P42"/>
    <mergeCell ref="O26:P26"/>
    <mergeCell ref="D30:P30"/>
    <mergeCell ref="D31:P31"/>
    <mergeCell ref="D32:P32"/>
    <mergeCell ref="D28:L28"/>
    <mergeCell ref="D26:N26"/>
    <mergeCell ref="O28:P28"/>
    <mergeCell ref="D17:P19"/>
    <mergeCell ref="D37:P38"/>
    <mergeCell ref="D15:P15"/>
    <mergeCell ref="D20:P20"/>
    <mergeCell ref="D25:P25"/>
  </mergeCells>
  <hyperlinks>
    <hyperlink ref="E45" r:id="rId1" xr:uid="{00000000-0004-0000-0100-000000000000}"/>
  </hyperlinks>
  <pageMargins left="0.39370078740157483" right="0.39370078740157483" top="0.39370078740157483" bottom="0.39370078740157483" header="0.19685039370078741" footer="0.19685039370078741"/>
  <pageSetup paperSize="9" scale="99" orientation="landscape" r:id="rId2"/>
  <headerFooter>
    <oddHeader>&amp;L&amp;"Calibri"&amp;10&amp;K000000Official&amp;1#_x000D_&amp;"Calibri"&amp;11&amp;K000000&amp;9&amp;F</oddHeader>
    <oddFooter>&amp;R&amp;9Page &amp;P of &amp;N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9"/>
  <dimension ref="B2:Q57"/>
  <sheetViews>
    <sheetView tabSelected="1" topLeftCell="A3" workbookViewId="0">
      <selection activeCell="W16" sqref="W16"/>
    </sheetView>
  </sheetViews>
  <sheetFormatPr defaultRowHeight="12.5" x14ac:dyDescent="0.25"/>
  <cols>
    <col min="1" max="2" width="2.7265625" customWidth="1"/>
    <col min="9" max="10" width="9.1796875" style="60"/>
    <col min="11" max="11" width="12.1796875" bestFit="1" customWidth="1"/>
    <col min="17" max="17" width="2.7265625" customWidth="1"/>
  </cols>
  <sheetData>
    <row r="2" spans="2:17" x14ac:dyDescent="0.25">
      <c r="B2" s="73"/>
      <c r="C2" s="74"/>
      <c r="D2" s="74"/>
      <c r="E2" s="74"/>
      <c r="F2" s="74"/>
      <c r="G2" s="74"/>
      <c r="H2" s="74"/>
      <c r="I2" s="134"/>
      <c r="J2" s="134"/>
      <c r="K2" s="74"/>
      <c r="L2" s="74"/>
      <c r="M2" s="74"/>
      <c r="N2" s="74"/>
      <c r="O2" s="74"/>
      <c r="P2" s="74"/>
      <c r="Q2" s="75"/>
    </row>
    <row r="3" spans="2:17" ht="19" thickBot="1" x14ac:dyDescent="0.4">
      <c r="B3" s="78"/>
      <c r="C3" s="395" t="s">
        <v>23</v>
      </c>
      <c r="D3" s="395"/>
      <c r="E3" s="395"/>
      <c r="F3" s="395"/>
      <c r="G3" s="79"/>
      <c r="H3" s="79"/>
      <c r="I3" s="135"/>
      <c r="J3" s="135"/>
      <c r="K3" s="79"/>
      <c r="L3" s="79"/>
      <c r="M3" s="79"/>
      <c r="N3" s="79"/>
      <c r="O3" s="79"/>
      <c r="P3" s="79"/>
      <c r="Q3" s="80"/>
    </row>
    <row r="4" spans="2:17" ht="13.5" thickTop="1" thickBot="1" x14ac:dyDescent="0.3">
      <c r="B4" s="76"/>
      <c r="Q4" s="77"/>
    </row>
    <row r="5" spans="2:17" ht="13" customHeight="1" thickTop="1" thickBot="1" x14ac:dyDescent="0.3">
      <c r="B5" s="76"/>
      <c r="C5" s="391" t="s">
        <v>7</v>
      </c>
      <c r="D5" s="391"/>
      <c r="E5" s="391"/>
      <c r="F5" s="391"/>
      <c r="G5" s="391"/>
      <c r="H5" s="391"/>
      <c r="I5" s="386" t="s">
        <v>73</v>
      </c>
      <c r="J5" s="387"/>
      <c r="K5" s="386" t="s">
        <v>31</v>
      </c>
      <c r="L5" s="396"/>
      <c r="M5" s="396"/>
      <c r="N5" s="396"/>
      <c r="O5" s="396"/>
      <c r="P5" s="396"/>
      <c r="Q5" s="77"/>
    </row>
    <row r="6" spans="2:17" ht="13" thickBot="1" x14ac:dyDescent="0.3">
      <c r="B6" s="76"/>
      <c r="C6" s="392"/>
      <c r="D6" s="392"/>
      <c r="E6" s="392"/>
      <c r="F6" s="392"/>
      <c r="G6" s="392"/>
      <c r="H6" s="392"/>
      <c r="I6" s="388"/>
      <c r="J6" s="389"/>
      <c r="K6" s="388"/>
      <c r="L6" s="397"/>
      <c r="M6" s="397"/>
      <c r="N6" s="397"/>
      <c r="O6" s="397"/>
      <c r="P6" s="397"/>
      <c r="Q6" s="77"/>
    </row>
    <row r="7" spans="2:17" ht="13" customHeight="1" thickTop="1" x14ac:dyDescent="0.25">
      <c r="B7" s="76"/>
      <c r="C7" s="437">
        <v>2</v>
      </c>
      <c r="D7" s="240" t="s">
        <v>214</v>
      </c>
      <c r="E7" s="240"/>
      <c r="F7" s="240"/>
      <c r="G7" s="240"/>
      <c r="H7" s="240"/>
      <c r="I7" s="382"/>
      <c r="J7" s="382"/>
      <c r="K7" s="393"/>
      <c r="L7" s="393"/>
      <c r="M7" s="393"/>
      <c r="N7" s="393"/>
      <c r="O7" s="393"/>
      <c r="P7" s="393"/>
      <c r="Q7" s="77"/>
    </row>
    <row r="8" spans="2:17" ht="13" customHeight="1" x14ac:dyDescent="0.25">
      <c r="B8" s="76"/>
      <c r="C8" s="438">
        <v>2.1</v>
      </c>
      <c r="D8" s="243" t="s">
        <v>215</v>
      </c>
      <c r="E8" s="243"/>
      <c r="F8" s="243"/>
      <c r="G8" s="243"/>
      <c r="H8" s="243"/>
      <c r="I8" s="379" t="str">
        <f>A!C7</f>
        <v>Yes</v>
      </c>
      <c r="J8" s="379"/>
      <c r="K8" s="384" t="str">
        <f>A!F15</f>
        <v>Inputs still required</v>
      </c>
      <c r="L8" s="384"/>
      <c r="M8" s="384"/>
      <c r="N8" s="384"/>
      <c r="O8" s="384"/>
      <c r="P8" s="384"/>
      <c r="Q8" s="77"/>
    </row>
    <row r="9" spans="2:17" ht="13" customHeight="1" x14ac:dyDescent="0.25">
      <c r="B9" s="76"/>
      <c r="C9" s="439">
        <v>2.13</v>
      </c>
      <c r="D9" s="243" t="s">
        <v>216</v>
      </c>
      <c r="E9" s="243"/>
      <c r="F9" s="243"/>
      <c r="G9" s="243"/>
      <c r="H9" s="243"/>
      <c r="I9" s="399" t="s">
        <v>144</v>
      </c>
      <c r="J9" s="399"/>
      <c r="K9" s="431" t="s">
        <v>325</v>
      </c>
      <c r="L9" s="431"/>
      <c r="M9" s="431"/>
      <c r="N9" s="431"/>
      <c r="O9" s="431"/>
      <c r="P9" s="431"/>
      <c r="Q9" s="77"/>
    </row>
    <row r="10" spans="2:17" ht="13" customHeight="1" x14ac:dyDescent="0.25">
      <c r="B10" s="76"/>
      <c r="C10" s="440">
        <v>4</v>
      </c>
      <c r="D10" s="245" t="s">
        <v>217</v>
      </c>
      <c r="E10" s="245"/>
      <c r="F10" s="245"/>
      <c r="G10" s="245"/>
      <c r="H10" s="245"/>
      <c r="I10" s="400" t="str">
        <f>IF('Development Details'!L5="","Inputs still required",IF('Development Details'!L5="Yes","May apply","No"))</f>
        <v>Inputs still required</v>
      </c>
      <c r="J10" s="400"/>
      <c r="K10" s="394" t="str">
        <f>IF('Development Details'!L5="","Inputs still required",IF('Development Details'!L5="Yes","Refer to Planning Obligations SPD","No requirements"))</f>
        <v>Inputs still required</v>
      </c>
      <c r="L10" s="394"/>
      <c r="M10" s="394"/>
      <c r="N10" s="394"/>
      <c r="O10" s="394"/>
      <c r="P10" s="394"/>
      <c r="Q10" s="77"/>
    </row>
    <row r="11" spans="2:17" ht="13" customHeight="1" x14ac:dyDescent="0.25">
      <c r="B11" s="76"/>
      <c r="C11" s="441">
        <v>5</v>
      </c>
      <c r="D11" s="244" t="s">
        <v>218</v>
      </c>
      <c r="E11" s="244"/>
      <c r="F11" s="244"/>
      <c r="G11" s="244"/>
      <c r="H11" s="244"/>
      <c r="I11" s="382"/>
      <c r="J11" s="382"/>
      <c r="K11" s="380"/>
      <c r="L11" s="380"/>
      <c r="M11" s="380"/>
      <c r="N11" s="380"/>
      <c r="O11" s="380"/>
      <c r="P11" s="380"/>
      <c r="Q11" s="77"/>
    </row>
    <row r="12" spans="2:17" ht="13" customHeight="1" x14ac:dyDescent="0.25">
      <c r="B12" s="76"/>
      <c r="C12" s="439">
        <v>5.0999999999999996</v>
      </c>
      <c r="D12" s="243" t="s">
        <v>21</v>
      </c>
      <c r="E12" s="243"/>
      <c r="F12" s="243"/>
      <c r="G12" s="243"/>
      <c r="H12" s="243"/>
      <c r="I12" s="379" t="s">
        <v>144</v>
      </c>
      <c r="J12" s="379"/>
      <c r="K12" s="393" t="s">
        <v>325</v>
      </c>
      <c r="L12" s="393"/>
      <c r="M12" s="393"/>
      <c r="N12" s="393"/>
      <c r="O12" s="393"/>
      <c r="P12" s="393"/>
      <c r="Q12" s="77"/>
    </row>
    <row r="13" spans="2:17" ht="15.5" customHeight="1" x14ac:dyDescent="0.25">
      <c r="B13" s="76"/>
      <c r="C13" s="442">
        <v>5.0999999999999996</v>
      </c>
      <c r="D13" s="242" t="s">
        <v>22</v>
      </c>
      <c r="E13" s="242"/>
      <c r="F13" s="242"/>
      <c r="G13" s="242"/>
      <c r="H13" s="242"/>
      <c r="I13" s="390" t="s">
        <v>144</v>
      </c>
      <c r="J13" s="390"/>
      <c r="K13" s="431" t="s">
        <v>325</v>
      </c>
      <c r="L13" s="431"/>
      <c r="M13" s="431"/>
      <c r="N13" s="431"/>
      <c r="O13" s="431"/>
      <c r="P13" s="431"/>
      <c r="Q13" s="77"/>
    </row>
    <row r="14" spans="2:17" ht="12.5" customHeight="1" x14ac:dyDescent="0.25">
      <c r="B14" s="76"/>
      <c r="C14" s="441">
        <v>6</v>
      </c>
      <c r="D14" s="244" t="s">
        <v>219</v>
      </c>
      <c r="E14" s="244"/>
      <c r="F14" s="244"/>
      <c r="G14" s="244"/>
      <c r="H14" s="244"/>
      <c r="I14" s="382"/>
      <c r="J14" s="382"/>
      <c r="K14" s="380"/>
      <c r="L14" s="380"/>
      <c r="M14" s="380"/>
      <c r="N14" s="380"/>
      <c r="O14" s="380"/>
      <c r="P14" s="380"/>
      <c r="Q14" s="77"/>
    </row>
    <row r="15" spans="2:17" ht="25.5" customHeight="1" x14ac:dyDescent="0.25">
      <c r="B15" s="76"/>
      <c r="C15" s="439">
        <v>6.1</v>
      </c>
      <c r="D15" s="243" t="s">
        <v>220</v>
      </c>
      <c r="E15" s="243"/>
      <c r="F15" s="243"/>
      <c r="G15" s="243"/>
      <c r="H15" s="243"/>
      <c r="I15" s="435"/>
      <c r="J15" s="435"/>
      <c r="K15" s="436"/>
      <c r="L15" s="436"/>
      <c r="M15" s="436"/>
      <c r="N15" s="436"/>
      <c r="O15" s="436"/>
      <c r="P15" s="436"/>
      <c r="Q15" s="77"/>
    </row>
    <row r="16" spans="2:17" ht="28" customHeight="1" x14ac:dyDescent="0.25">
      <c r="B16" s="76"/>
      <c r="C16" s="439"/>
      <c r="D16" s="385" t="s">
        <v>370</v>
      </c>
      <c r="E16" s="385"/>
      <c r="F16" s="385"/>
      <c r="G16" s="385"/>
      <c r="H16" s="385"/>
      <c r="I16" s="382" t="str">
        <f>IF(B!L8="", "Inputs still required", IF(B!L8="Yes", B!L8, "No"))</f>
        <v>Inputs still required</v>
      </c>
      <c r="J16" s="382"/>
      <c r="K16" s="380" t="str">
        <f>IF(B!J6="Yes","No requirements",
    IF(B!J6="", "Inputs still required",
        IF(B!E12="", "Inputs still required",
            TEXT(B!F16,"£#,##0")
        )
    )
)</f>
        <v>Inputs still required</v>
      </c>
      <c r="L16" s="380"/>
      <c r="M16" s="380"/>
      <c r="N16" s="380"/>
      <c r="O16" s="380"/>
      <c r="P16" s="380"/>
      <c r="Q16" s="77"/>
    </row>
    <row r="17" spans="2:17" ht="21" customHeight="1" x14ac:dyDescent="0.25">
      <c r="B17" s="76"/>
      <c r="C17" s="439"/>
      <c r="D17" s="385" t="s">
        <v>371</v>
      </c>
      <c r="E17" s="385"/>
      <c r="F17" s="385"/>
      <c r="G17" s="385"/>
      <c r="H17" s="385"/>
      <c r="I17" s="379" t="str">
        <f>IF('Development Details'!G62=0, "Inputs still required", IF(OR('Development Details'!G32&gt;9,'Development Details'!H83&gt;=1000),"May apply","No"))</f>
        <v>Inputs still required</v>
      </c>
      <c r="J17" s="379"/>
      <c r="K17" s="380" t="str">
        <f>IF('Development Details'!G62=0,"Inputs still required",IF(OR('Development Details'!G32&gt;9,'Development Details'!H83&gt;=1000),"Refer to the Planning Obligations SPD","No requirements"))</f>
        <v>Inputs still required</v>
      </c>
      <c r="L17" s="380"/>
      <c r="M17" s="380"/>
      <c r="N17" s="380"/>
      <c r="O17" s="380"/>
      <c r="P17" s="380"/>
      <c r="Q17" s="77"/>
    </row>
    <row r="18" spans="2:17" ht="13" customHeight="1" x14ac:dyDescent="0.25">
      <c r="B18" s="76"/>
      <c r="C18" s="443">
        <v>6.11</v>
      </c>
      <c r="D18" s="243" t="s">
        <v>19</v>
      </c>
      <c r="E18" s="243"/>
      <c r="F18" s="243"/>
      <c r="G18" s="243"/>
      <c r="H18" s="243"/>
      <c r="I18" s="379" t="str">
        <f>IF('Development Details'!G62=0, "Inputs still required", IF(OR('Development Details'!G32&gt;9,'Development Details'!G62&gt;=1000), "May apply", "No"))</f>
        <v>Inputs still required</v>
      </c>
      <c r="J18" s="379"/>
      <c r="K18" s="380" t="str">
        <f>IF('Development Details'!G62=0, "Inputs still required", IF(OR('Development Details'!G32&gt;9, 'Development Details'!G62&gt;=1000), "Planning Obligations may be required where requirements cannot be met on-site. Refer to the Planning Obligations SPD", "No requirements"))</f>
        <v>Inputs still required</v>
      </c>
      <c r="L18" s="380"/>
      <c r="M18" s="380"/>
      <c r="N18" s="380"/>
      <c r="O18" s="380"/>
      <c r="P18" s="380"/>
      <c r="Q18" s="77"/>
    </row>
    <row r="19" spans="2:17" ht="13" customHeight="1" x14ac:dyDescent="0.25">
      <c r="B19" s="76"/>
      <c r="C19" s="443"/>
      <c r="D19" s="243"/>
      <c r="E19" s="243"/>
      <c r="F19" s="243"/>
      <c r="G19" s="243"/>
      <c r="H19" s="243"/>
      <c r="I19" s="379"/>
      <c r="J19" s="379"/>
      <c r="K19" s="380"/>
      <c r="L19" s="380"/>
      <c r="M19" s="380"/>
      <c r="N19" s="380"/>
      <c r="O19" s="380"/>
      <c r="P19" s="380"/>
      <c r="Q19" s="77"/>
    </row>
    <row r="20" spans="2:17" ht="13" customHeight="1" x14ac:dyDescent="0.25">
      <c r="B20" s="76"/>
      <c r="C20" s="439">
        <v>6.18</v>
      </c>
      <c r="D20" s="243" t="s">
        <v>221</v>
      </c>
      <c r="E20" s="243"/>
      <c r="F20" s="243"/>
      <c r="G20" s="243"/>
      <c r="H20" s="243"/>
      <c r="I20" s="379" t="s">
        <v>144</v>
      </c>
      <c r="J20" s="379"/>
      <c r="K20" s="393" t="s">
        <v>325</v>
      </c>
      <c r="L20" s="393"/>
      <c r="M20" s="393"/>
      <c r="N20" s="393"/>
      <c r="O20" s="393"/>
      <c r="P20" s="393"/>
      <c r="Q20" s="77"/>
    </row>
    <row r="21" spans="2:17" ht="13" customHeight="1" x14ac:dyDescent="0.25">
      <c r="B21" s="76"/>
      <c r="C21" s="439">
        <v>6.29</v>
      </c>
      <c r="D21" s="243" t="s">
        <v>222</v>
      </c>
      <c r="E21" s="243"/>
      <c r="F21" s="243"/>
      <c r="G21" s="243"/>
      <c r="H21" s="243"/>
      <c r="I21" s="379" t="s">
        <v>144</v>
      </c>
      <c r="J21" s="379"/>
      <c r="K21" s="393" t="s">
        <v>325</v>
      </c>
      <c r="L21" s="393"/>
      <c r="M21" s="393"/>
      <c r="N21" s="393"/>
      <c r="O21" s="393"/>
      <c r="P21" s="393"/>
      <c r="Q21" s="77"/>
    </row>
    <row r="22" spans="2:17" ht="15" customHeight="1" x14ac:dyDescent="0.25">
      <c r="B22" s="76"/>
      <c r="C22" s="439">
        <v>6.34</v>
      </c>
      <c r="D22" s="243" t="s">
        <v>20</v>
      </c>
      <c r="E22" s="243"/>
      <c r="F22" s="243"/>
      <c r="G22" s="243"/>
      <c r="H22" s="243"/>
      <c r="I22" s="390" t="str">
        <f>IF('Development Details'!G62=0, "Inputs still required", IF(OR('Development Details'!G32&gt;9,'Development Details'!H83&gt;=1000), "May apply", "No"))</f>
        <v>Inputs still required</v>
      </c>
      <c r="J22" s="390"/>
      <c r="K22" s="431" t="str">
        <f>IF('Development Details'!G62=0, "Inputs still required", IF(OR('Development Details'!G32&gt;9,'Development Details'!H83&gt;=1000), "Refer to the Planning Obligations SPD", "No requirements"))</f>
        <v>Inputs still required</v>
      </c>
      <c r="L22" s="431"/>
      <c r="M22" s="431"/>
      <c r="N22" s="431"/>
      <c r="O22" s="431"/>
      <c r="P22" s="431"/>
      <c r="Q22" s="77"/>
    </row>
    <row r="23" spans="2:17" ht="13" customHeight="1" x14ac:dyDescent="0.25">
      <c r="B23" s="76"/>
      <c r="C23" s="437">
        <v>7</v>
      </c>
      <c r="D23" s="240" t="s">
        <v>223</v>
      </c>
      <c r="E23" s="240"/>
      <c r="F23" s="240"/>
      <c r="G23" s="240"/>
      <c r="H23" s="240"/>
      <c r="I23" s="379"/>
      <c r="J23" s="379"/>
      <c r="K23" s="393"/>
      <c r="L23" s="393"/>
      <c r="M23" s="393"/>
      <c r="N23" s="393"/>
      <c r="O23" s="393"/>
      <c r="P23" s="393"/>
      <c r="Q23" s="77"/>
    </row>
    <row r="24" spans="2:17" ht="13" customHeight="1" x14ac:dyDescent="0.25">
      <c r="B24" s="76"/>
      <c r="C24" s="444">
        <v>7.1</v>
      </c>
      <c r="D24" s="243" t="s">
        <v>224</v>
      </c>
      <c r="E24" s="243"/>
      <c r="F24" s="243"/>
      <c r="G24" s="243"/>
      <c r="H24" s="243"/>
      <c r="I24" s="379" t="str">
        <f>IF(OR('Development Details'!G62=0, "Inputs still required", 'Development Details'!L5="",'Development Details'!L6=""), "Inputs still required", IF(OR('Development Details'!L5="Yes",'Development Details'!L6="Yes", 'Development Details'!G32&gt;9,'Development Details'!H83&gt;=1000), "Requires assessment", "May apply"))</f>
        <v>Inputs still required</v>
      </c>
      <c r="J24" s="379"/>
      <c r="K24" s="380" t="str">
        <f>IF(OR('Development Details'!G62=0, "Inputs still required", 'Development Details'!L5="",'Development Details'!L6=""), "Inputs still required", IF(OR('Development Details'!L5="Yes",'Development Details'!L6="Yes", 'Development Details'!G32&gt;9,'Development Details'!H83&gt;=1000), "The provision of on-site social and community infrastructure may be required. Please refer to the Planning Obligations SPD for further details of the information you need to prepare to assess this need", "Please refer to Planning Obligations SPD"))</f>
        <v>Inputs still required</v>
      </c>
      <c r="L24" s="380"/>
      <c r="M24" s="380"/>
      <c r="N24" s="380"/>
      <c r="O24" s="380"/>
      <c r="P24" s="380"/>
      <c r="Q24" s="77"/>
    </row>
    <row r="25" spans="2:17" ht="13" customHeight="1" x14ac:dyDescent="0.25">
      <c r="B25" s="76"/>
      <c r="C25" s="444"/>
      <c r="D25" s="243"/>
      <c r="E25" s="243"/>
      <c r="F25" s="243"/>
      <c r="G25" s="243"/>
      <c r="H25" s="243"/>
      <c r="I25" s="379"/>
      <c r="J25" s="379"/>
      <c r="K25" s="380"/>
      <c r="L25" s="380"/>
      <c r="M25" s="380"/>
      <c r="N25" s="380"/>
      <c r="O25" s="380"/>
      <c r="P25" s="380"/>
      <c r="Q25" s="77"/>
    </row>
    <row r="26" spans="2:17" ht="13" customHeight="1" x14ac:dyDescent="0.25">
      <c r="B26" s="76"/>
      <c r="C26" s="444"/>
      <c r="D26" s="243"/>
      <c r="E26" s="243"/>
      <c r="F26" s="243"/>
      <c r="G26" s="243"/>
      <c r="H26" s="243"/>
      <c r="I26" s="379"/>
      <c r="J26" s="379"/>
      <c r="K26" s="380"/>
      <c r="L26" s="380"/>
      <c r="M26" s="380"/>
      <c r="N26" s="380"/>
      <c r="O26" s="380"/>
      <c r="P26" s="380"/>
      <c r="Q26" s="77"/>
    </row>
    <row r="27" spans="2:17" ht="12.5" customHeight="1" x14ac:dyDescent="0.25">
      <c r="B27" s="76"/>
      <c r="C27" s="438">
        <v>7.25</v>
      </c>
      <c r="D27" s="243" t="s">
        <v>15</v>
      </c>
      <c r="E27" s="243"/>
      <c r="F27" s="243"/>
      <c r="G27" s="243"/>
      <c r="H27" s="243"/>
      <c r="I27" s="215"/>
      <c r="J27" s="215"/>
      <c r="K27" s="216"/>
      <c r="L27" s="216"/>
      <c r="M27" s="216"/>
      <c r="N27" s="216"/>
      <c r="O27" s="216"/>
      <c r="P27" s="216"/>
      <c r="Q27" s="77"/>
    </row>
    <row r="28" spans="2:17" ht="12.5" customHeight="1" x14ac:dyDescent="0.25">
      <c r="B28" s="76"/>
      <c r="C28" s="438"/>
      <c r="D28" s="385" t="s">
        <v>363</v>
      </c>
      <c r="E28" s="385"/>
      <c r="F28" s="385"/>
      <c r="G28" s="385"/>
      <c r="H28" s="385"/>
      <c r="I28" s="382" t="str">
        <f>IF('Development Details'!G62=0, "Inputs still required", IF('C'!J6="", "Inputs still required", IF('C'!J6="No", "No", IF('C'!H9="", "Inputs still required", IF('C'!H9="No", "Yes", "No")))))</f>
        <v>Inputs still required</v>
      </c>
      <c r="J28" s="382"/>
      <c r="K28" s="384" t="str">
        <f>IF('Development Details'!G62=0, "Inputs still required", IF('C'!J6="", "Inputs still required", IF('C'!J6="No", "No requirements", IF('C'!H9="", "Inputs still required", IF('C'!H9="No", 'C'!G26, "No commuted sum requirement, Arts and Culture Action Plan provided")))))</f>
        <v>Inputs still required</v>
      </c>
      <c r="L28" s="384"/>
      <c r="M28" s="384"/>
      <c r="N28" s="384"/>
      <c r="O28" s="384"/>
      <c r="P28" s="384"/>
      <c r="Q28" s="77"/>
    </row>
    <row r="29" spans="2:17" ht="12.5" customHeight="1" x14ac:dyDescent="0.25">
      <c r="B29" s="76"/>
      <c r="C29" s="438"/>
      <c r="D29" s="385" t="s">
        <v>364</v>
      </c>
      <c r="E29" s="385"/>
      <c r="F29" s="385"/>
      <c r="G29" s="385"/>
      <c r="H29" s="385"/>
      <c r="I29" s="382" t="str">
        <f>IF('Development Details'!G62=0, "Inputs still required", IF('C'!L30="", "Inputs still required", IF('C'!L30="No", "No", IF('C'!L30="Yes", "Yes", "No"))))</f>
        <v>Inputs still required</v>
      </c>
      <c r="J29" s="382"/>
      <c r="K29" s="384" t="str">
        <f>IF('Development Details'!G62=0, "Inputs still required", IF('C'!L30="", "Inputs still required", IF('C'!L30="No", "No requirements", IF('C'!L30="Yes", 'C'!G42, "No requirements"))))</f>
        <v>Inputs still required</v>
      </c>
      <c r="L29" s="384"/>
      <c r="M29" s="384"/>
      <c r="N29" s="384"/>
      <c r="O29" s="384"/>
      <c r="P29" s="197"/>
      <c r="Q29" s="77"/>
    </row>
    <row r="30" spans="2:17" ht="13" customHeight="1" x14ac:dyDescent="0.25">
      <c r="B30" s="76"/>
      <c r="C30" s="444">
        <v>7.43</v>
      </c>
      <c r="D30" s="243" t="s">
        <v>225</v>
      </c>
      <c r="E30" s="243"/>
      <c r="F30" s="243"/>
      <c r="G30" s="243"/>
      <c r="H30" s="243"/>
      <c r="I30" s="379" t="str">
        <f>IF('Development Details'!G62=0, "Inputs still required", IF(OR('Development Details'!G32&gt;9, AND('Development Details'!H83&gt;=1000, 'Development Details'!G32&gt;0)), "Yes", "No"))</f>
        <v>Inputs still required</v>
      </c>
      <c r="J30" s="379"/>
      <c r="K30" s="380" t="str">
        <f>IF('Development Details'!G62=0, "Inputs still required", IF(OR('Development Details'!G32&gt;9, AND('Development Details'!H83&gt;=1000, 'Development Details'!G32&gt;0)), "Play Space should be provided on-site equivalent to 10sqm per child. Please refer to the Planning Obligations SPD", "No requirements"))</f>
        <v>Inputs still required</v>
      </c>
      <c r="L30" s="380"/>
      <c r="M30" s="380"/>
      <c r="N30" s="380"/>
      <c r="O30" s="380"/>
      <c r="P30" s="380"/>
      <c r="Q30" s="77"/>
    </row>
    <row r="31" spans="2:17" ht="13" customHeight="1" x14ac:dyDescent="0.25">
      <c r="B31" s="76"/>
      <c r="C31" s="444"/>
      <c r="D31" s="243"/>
      <c r="E31" s="243"/>
      <c r="F31" s="243"/>
      <c r="G31" s="243"/>
      <c r="H31" s="243"/>
      <c r="I31" s="379"/>
      <c r="J31" s="379"/>
      <c r="K31" s="380"/>
      <c r="L31" s="380"/>
      <c r="M31" s="380"/>
      <c r="N31" s="380"/>
      <c r="O31" s="380"/>
      <c r="P31" s="380"/>
      <c r="Q31" s="77"/>
    </row>
    <row r="32" spans="2:17" ht="13" customHeight="1" x14ac:dyDescent="0.25">
      <c r="B32" s="76"/>
      <c r="C32" s="444">
        <v>7.5</v>
      </c>
      <c r="D32" s="243" t="s">
        <v>18</v>
      </c>
      <c r="E32" s="243"/>
      <c r="F32" s="243"/>
      <c r="G32" s="243"/>
      <c r="H32" s="243"/>
      <c r="I32" s="379" t="str">
        <f>IF('Development Details'!G62=0, "Inputs still required", IF(OR('Development Details'!G32&gt;9,'Development Details'!H83&gt;=1000), "Yes", "No"))</f>
        <v>Inputs still required</v>
      </c>
      <c r="J32" s="379"/>
      <c r="K32" s="380" t="str">
        <f>IF('Development Details'!G62=0, "Inputs still required", IF(OR('Development Details'!G32&gt;9,'Development Details'!H83&gt;=1000), "Open space should be provided on-site. Please refer to the Planning Obligations SPD for further details", "No requirement"))</f>
        <v>Inputs still required</v>
      </c>
      <c r="L32" s="380"/>
      <c r="M32" s="380"/>
      <c r="N32" s="380"/>
      <c r="O32" s="380"/>
      <c r="P32" s="380"/>
      <c r="Q32" s="77"/>
    </row>
    <row r="33" spans="2:17" ht="13" customHeight="1" x14ac:dyDescent="0.25">
      <c r="B33" s="76"/>
      <c r="C33" s="444"/>
      <c r="D33" s="243"/>
      <c r="E33" s="243"/>
      <c r="F33" s="243"/>
      <c r="G33" s="243"/>
      <c r="H33" s="243"/>
      <c r="I33" s="379"/>
      <c r="J33" s="379"/>
      <c r="K33" s="380"/>
      <c r="L33" s="380"/>
      <c r="M33" s="380"/>
      <c r="N33" s="380"/>
      <c r="O33" s="380"/>
      <c r="P33" s="380"/>
      <c r="Q33" s="77"/>
    </row>
    <row r="34" spans="2:17" ht="13" customHeight="1" x14ac:dyDescent="0.25">
      <c r="B34" s="76"/>
      <c r="C34" s="442">
        <v>7.59</v>
      </c>
      <c r="D34" s="242" t="s">
        <v>226</v>
      </c>
      <c r="E34" s="242"/>
      <c r="F34" s="242"/>
      <c r="G34" s="242"/>
      <c r="H34" s="242"/>
      <c r="I34" s="390" t="s">
        <v>144</v>
      </c>
      <c r="J34" s="390"/>
      <c r="K34" s="431" t="s">
        <v>325</v>
      </c>
      <c r="L34" s="431"/>
      <c r="M34" s="431"/>
      <c r="N34" s="431"/>
      <c r="O34" s="431"/>
      <c r="P34" s="431"/>
      <c r="Q34" s="77"/>
    </row>
    <row r="35" spans="2:17" ht="13" customHeight="1" x14ac:dyDescent="0.25">
      <c r="B35" s="76"/>
      <c r="C35" s="441">
        <v>8</v>
      </c>
      <c r="D35" s="244" t="s">
        <v>227</v>
      </c>
      <c r="E35" s="244"/>
      <c r="F35" s="244"/>
      <c r="G35" s="244"/>
      <c r="H35" s="244"/>
      <c r="I35" s="382"/>
      <c r="J35" s="382"/>
      <c r="K35" s="393"/>
      <c r="L35" s="393"/>
      <c r="M35" s="393"/>
      <c r="N35" s="393"/>
      <c r="O35" s="393"/>
      <c r="P35" s="393"/>
      <c r="Q35" s="77"/>
    </row>
    <row r="36" spans="2:17" ht="13" customHeight="1" x14ac:dyDescent="0.25">
      <c r="B36" s="76"/>
      <c r="C36" s="445">
        <v>8.1</v>
      </c>
      <c r="D36" s="243" t="s">
        <v>228</v>
      </c>
      <c r="E36" s="243"/>
      <c r="F36" s="243"/>
      <c r="G36" s="243"/>
      <c r="H36" s="243"/>
      <c r="I36" s="382"/>
      <c r="J36" s="382"/>
      <c r="K36" s="196"/>
      <c r="L36" s="196"/>
      <c r="M36" s="196"/>
      <c r="N36" s="196"/>
      <c r="O36" s="196"/>
      <c r="P36" s="196"/>
      <c r="Q36" s="77"/>
    </row>
    <row r="37" spans="2:17" ht="13" customHeight="1" x14ac:dyDescent="0.25">
      <c r="B37" s="76"/>
      <c r="C37" s="445"/>
      <c r="D37" s="217" t="s">
        <v>281</v>
      </c>
      <c r="E37" s="191"/>
      <c r="F37" s="191"/>
      <c r="G37" s="191"/>
      <c r="H37" s="191"/>
      <c r="I37" s="382" t="str">
        <f>IF('Development Details'!G62=0, "Inputs still required", IF(D!L6="", "Inputs still required", IF(D!L6="No", "No", IF(D!K13= "", "Inputs still required", IF(D!K13="Open Workspace", "Yes", "No")))))</f>
        <v>Inputs still required</v>
      </c>
      <c r="J37" s="382"/>
      <c r="K37" s="383" t="str">
        <f>IF('Development Details'!G62=0, "Inputs still required", IF(D!L6="", "Inputs still required", IF(D!L6="No", "No requirements", IF(D!K13= "", "Inputs still required", IF(D!K13="Open Workspace", D!H23, "No requirements")))))</f>
        <v>Inputs still required</v>
      </c>
      <c r="L37" s="383"/>
      <c r="M37" s="383"/>
      <c r="N37" s="383"/>
      <c r="O37" s="383"/>
      <c r="P37" s="383"/>
      <c r="Q37" s="77"/>
    </row>
    <row r="38" spans="2:17" ht="13" customHeight="1" x14ac:dyDescent="0.25">
      <c r="B38" s="76"/>
      <c r="C38" s="445"/>
      <c r="D38" s="217" t="s">
        <v>282</v>
      </c>
      <c r="E38" s="191"/>
      <c r="F38" s="191"/>
      <c r="G38" s="191"/>
      <c r="H38" s="191"/>
      <c r="I38" s="382" t="str">
        <f>IF('Development Details'!G62=0, "Inputs still required", IF(D!L6="", "Inputs still required", IF(D!L6="No", "No", IF(D!K13= "", "Inputs still required", IF(D!K13="Affordable Workspace", "Yes", "No")))))</f>
        <v>Inputs still required</v>
      </c>
      <c r="J38" s="382"/>
      <c r="K38" s="383" t="str">
        <f>IF('Development Details'!G62=0, "Inputs still required", IF(D!L6="", "Inputs still required", IF(D!L6="No", "No requirements", IF(D!K13= "", "Inputs still required", IF(D!K13="Affordable Workspace", D!H32, "No requirements")))))</f>
        <v>Inputs still required</v>
      </c>
      <c r="L38" s="383"/>
      <c r="M38" s="383"/>
      <c r="N38" s="383"/>
      <c r="O38" s="383"/>
      <c r="P38" s="383"/>
      <c r="Q38" s="77"/>
    </row>
    <row r="39" spans="2:17" ht="13" customHeight="1" x14ac:dyDescent="0.25">
      <c r="B39" s="76"/>
      <c r="C39" s="445"/>
      <c r="D39" s="217" t="s">
        <v>283</v>
      </c>
      <c r="E39" s="191"/>
      <c r="F39" s="191"/>
      <c r="G39" s="191"/>
      <c r="H39" s="191"/>
      <c r="I39" s="382" t="str">
        <f>IF('Development Details'!G62=0, "Inputs still required", IF(D!L6="", "Inputs still required", IF(D!L6="No", "No", IF(D!K13= "", "Inputs still required", IF(D!K13="Financial Contribution", "Yes", "No")))))</f>
        <v>Inputs still required</v>
      </c>
      <c r="J39" s="382"/>
      <c r="K39" s="384" t="str">
        <f>IF('Development Details'!G62=0, "Inputs still required", IF(D!L6="", "Inputs still required", IF(D!L6="No", "No requirements", IF(D!K13= "", "Inputs still required", IF(D!K13="Financial Contribution", D!I54, "No requirements")))))</f>
        <v>Inputs still required</v>
      </c>
      <c r="L39" s="384"/>
      <c r="M39" s="384"/>
      <c r="N39" s="384"/>
      <c r="O39" s="384"/>
      <c r="P39" s="384"/>
      <c r="Q39" s="77"/>
    </row>
    <row r="40" spans="2:17" ht="13" customHeight="1" x14ac:dyDescent="0.25">
      <c r="B40" s="76"/>
      <c r="C40" s="439">
        <v>8.14</v>
      </c>
      <c r="D40" s="243" t="s">
        <v>229</v>
      </c>
      <c r="E40" s="243"/>
      <c r="F40" s="243"/>
      <c r="G40" s="243"/>
      <c r="H40" s="243"/>
      <c r="I40" s="379"/>
      <c r="J40" s="379"/>
      <c r="K40" s="380"/>
      <c r="L40" s="380"/>
      <c r="M40" s="380"/>
      <c r="N40" s="380"/>
      <c r="O40" s="380"/>
      <c r="P40" s="380"/>
      <c r="Q40" s="77"/>
    </row>
    <row r="41" spans="2:17" ht="13" customHeight="1" x14ac:dyDescent="0.25">
      <c r="B41" s="76"/>
      <c r="C41" s="439"/>
      <c r="D41" s="217" t="s">
        <v>77</v>
      </c>
      <c r="E41" s="191"/>
      <c r="F41" s="191"/>
      <c r="G41" s="191"/>
      <c r="H41" s="191"/>
      <c r="I41" s="379" t="str">
        <f>IF('Development Details'!G62=0, "Inputs still required", IF(E!M6="", "Inputs still required", IF(E!M6="No", "No", "Yes")))</f>
        <v>Inputs still required</v>
      </c>
      <c r="J41" s="379"/>
      <c r="K41" s="218" t="str">
        <f>IF('Development Details'!G62=0, "Inputs still required", IF(E!M6="", "Inputs still required", IF('Development Details'!G62=0, "Inputs still required", IF(E!M6="No", "No requirements", E!I42))))</f>
        <v>Inputs still required</v>
      </c>
      <c r="L41" s="195"/>
      <c r="M41" s="195"/>
      <c r="N41" s="195"/>
      <c r="O41" s="195"/>
      <c r="P41" s="195"/>
      <c r="Q41" s="77"/>
    </row>
    <row r="42" spans="2:17" ht="13" customHeight="1" x14ac:dyDescent="0.25">
      <c r="B42" s="76"/>
      <c r="C42" s="439"/>
      <c r="D42" s="217" t="s">
        <v>80</v>
      </c>
      <c r="E42" s="191"/>
      <c r="F42" s="191"/>
      <c r="G42" s="191"/>
      <c r="H42" s="191"/>
      <c r="I42" s="379" t="str">
        <f>IF('Development Details'!G62=0, "Inputs still required", IF(E!M6="", "Inputs still required", IF(E!M6="No", "No", "Yes")))</f>
        <v>Inputs still required</v>
      </c>
      <c r="J42" s="379"/>
      <c r="K42" s="219" t="str">
        <f>IF(E!M6="", "Inputs still required", IF('Development Details'!G62=0, "Inputs still required", IF(E!M6="No", "No requirements", E!I54)))</f>
        <v>Inputs still required</v>
      </c>
      <c r="L42" s="195"/>
      <c r="M42" s="195"/>
      <c r="N42" s="195"/>
      <c r="O42" s="195"/>
      <c r="P42" s="195"/>
      <c r="Q42" s="77"/>
    </row>
    <row r="43" spans="2:17" ht="13" customHeight="1" x14ac:dyDescent="0.25">
      <c r="B43" s="76"/>
      <c r="C43" s="439"/>
      <c r="D43" s="217" t="s">
        <v>365</v>
      </c>
      <c r="E43" s="191"/>
      <c r="F43" s="191"/>
      <c r="G43" s="191"/>
      <c r="H43" s="191"/>
      <c r="I43" s="379" t="str">
        <f>IF('Development Details'!G62=0, "Inputs still required", IF(E!M10="", "Inputs still required", IF(E!M10="No", "No", "Yes")))</f>
        <v>Inputs still required</v>
      </c>
      <c r="J43" s="379"/>
      <c r="K43" s="219" t="str">
        <f>IF('Development Details'!G62=0, "Inputs still required", IF(E!M10="", "Inputs still required", IF(E!M10="No", "No requirements", E!I65)))</f>
        <v>Inputs still required</v>
      </c>
      <c r="L43" s="195"/>
      <c r="M43" s="195"/>
      <c r="N43" s="195"/>
      <c r="O43" s="195"/>
      <c r="P43" s="195"/>
      <c r="Q43" s="77"/>
    </row>
    <row r="44" spans="2:17" ht="13" customHeight="1" x14ac:dyDescent="0.25">
      <c r="B44" s="76"/>
      <c r="C44" s="443">
        <v>8.31</v>
      </c>
      <c r="D44" s="432" t="s">
        <v>230</v>
      </c>
      <c r="E44" s="432"/>
      <c r="F44" s="432"/>
      <c r="G44" s="432"/>
      <c r="H44" s="432"/>
      <c r="I44" s="379" t="str">
        <f>IF('Development Details'!G62=0, "Inputs still required", IF(OR('Development Details'!G32&gt;9,'Development Details'!H83&gt;=1000), "Yes", "No"))</f>
        <v>Inputs still required</v>
      </c>
      <c r="J44" s="379"/>
      <c r="K44" s="380" t="str">
        <f>IF('Development Details'!G62=0, "Inputs still required", IF(OR('Development Details'!G32&gt;9,'Development Details'!H83&gt;=1000), "A Local Procurement Plan should be produced. Please refer to the Planning Obligations SPD for further details", "No requirements"))</f>
        <v>Inputs still required</v>
      </c>
      <c r="L44" s="380"/>
      <c r="M44" s="380"/>
      <c r="N44" s="380"/>
      <c r="O44" s="380"/>
      <c r="P44" s="380"/>
      <c r="Q44" s="77"/>
    </row>
    <row r="45" spans="2:17" ht="13" customHeight="1" x14ac:dyDescent="0.25">
      <c r="B45" s="76"/>
      <c r="C45" s="446"/>
      <c r="D45" s="242"/>
      <c r="E45" s="242"/>
      <c r="F45" s="242"/>
      <c r="G45" s="242"/>
      <c r="H45" s="242"/>
      <c r="I45" s="390"/>
      <c r="J45" s="390"/>
      <c r="K45" s="448"/>
      <c r="L45" s="448"/>
      <c r="M45" s="448"/>
      <c r="N45" s="448"/>
      <c r="O45" s="448"/>
      <c r="P45" s="448"/>
      <c r="Q45" s="77"/>
    </row>
    <row r="46" spans="2:17" ht="13" customHeight="1" x14ac:dyDescent="0.25">
      <c r="B46" s="76"/>
      <c r="C46" s="437">
        <v>9</v>
      </c>
      <c r="D46" s="240" t="s">
        <v>231</v>
      </c>
      <c r="E46" s="240"/>
      <c r="F46" s="240"/>
      <c r="G46" s="240"/>
      <c r="H46" s="240"/>
      <c r="I46" s="379"/>
      <c r="J46" s="379"/>
      <c r="K46" s="393"/>
      <c r="L46" s="393"/>
      <c r="M46" s="393"/>
      <c r="N46" s="393"/>
      <c r="O46" s="393"/>
      <c r="P46" s="393"/>
      <c r="Q46" s="77"/>
    </row>
    <row r="47" spans="2:17" ht="13" customHeight="1" x14ac:dyDescent="0.25">
      <c r="B47" s="76"/>
      <c r="C47" s="447">
        <v>9.1</v>
      </c>
      <c r="D47" s="242" t="s">
        <v>232</v>
      </c>
      <c r="E47" s="242"/>
      <c r="F47" s="242"/>
      <c r="G47" s="242"/>
      <c r="H47" s="242"/>
      <c r="I47" s="390" t="str">
        <f>IF('Development Details'!G43&gt;0, "Yes", "No")</f>
        <v>No</v>
      </c>
      <c r="J47" s="390"/>
      <c r="K47" s="431" t="str">
        <f>IF('Development Details'!G43&gt;0, "Refer to the Planning Obligations SPD", "No requirements")</f>
        <v>No requirements</v>
      </c>
      <c r="L47" s="431"/>
      <c r="M47" s="431"/>
      <c r="N47" s="431"/>
      <c r="O47" s="431"/>
      <c r="P47" s="431"/>
      <c r="Q47" s="77"/>
    </row>
    <row r="48" spans="2:17" ht="13" customHeight="1" x14ac:dyDescent="0.25">
      <c r="B48" s="76"/>
      <c r="C48" s="437">
        <v>10</v>
      </c>
      <c r="D48" s="240" t="s">
        <v>233</v>
      </c>
      <c r="E48" s="240"/>
      <c r="F48" s="240"/>
      <c r="G48" s="240"/>
      <c r="H48" s="240"/>
      <c r="I48" s="379"/>
      <c r="J48" s="379"/>
      <c r="K48" s="398"/>
      <c r="L48" s="398"/>
      <c r="M48" s="398"/>
      <c r="N48" s="398"/>
      <c r="O48" s="398"/>
      <c r="P48" s="398"/>
      <c r="Q48" s="77"/>
    </row>
    <row r="49" spans="2:17" ht="13" customHeight="1" x14ac:dyDescent="0.25">
      <c r="B49" s="76"/>
      <c r="C49" s="447">
        <v>10.1</v>
      </c>
      <c r="D49" s="242" t="s">
        <v>233</v>
      </c>
      <c r="E49" s="242"/>
      <c r="F49" s="242"/>
      <c r="G49" s="242"/>
      <c r="H49" s="242"/>
      <c r="I49" s="390" t="s">
        <v>144</v>
      </c>
      <c r="J49" s="390"/>
      <c r="K49" s="431" t="s">
        <v>325</v>
      </c>
      <c r="L49" s="431"/>
      <c r="M49" s="431"/>
      <c r="N49" s="431"/>
      <c r="O49" s="431"/>
      <c r="P49" s="431"/>
      <c r="Q49" s="77"/>
    </row>
    <row r="50" spans="2:17" ht="25.5" customHeight="1" x14ac:dyDescent="0.25">
      <c r="B50" s="76"/>
      <c r="C50" s="441">
        <v>11</v>
      </c>
      <c r="D50" s="244" t="s">
        <v>234</v>
      </c>
      <c r="E50" s="244"/>
      <c r="F50" s="244"/>
      <c r="G50" s="244"/>
      <c r="H50" s="244"/>
      <c r="I50" s="382"/>
      <c r="J50" s="382"/>
      <c r="K50" s="380"/>
      <c r="L50" s="380"/>
      <c r="M50" s="380"/>
      <c r="N50" s="380"/>
      <c r="O50" s="380"/>
      <c r="P50" s="380"/>
      <c r="Q50" s="77"/>
    </row>
    <row r="51" spans="2:17" ht="13" customHeight="1" x14ac:dyDescent="0.25">
      <c r="B51" s="76"/>
      <c r="C51" s="4">
        <v>11.1</v>
      </c>
      <c r="D51" s="243" t="s">
        <v>235</v>
      </c>
      <c r="E51" s="243"/>
      <c r="F51" s="243"/>
      <c r="G51" s="243"/>
      <c r="H51" s="243"/>
      <c r="I51" s="379" t="s">
        <v>144</v>
      </c>
      <c r="J51" s="379"/>
      <c r="K51" s="393" t="s">
        <v>325</v>
      </c>
      <c r="L51" s="393"/>
      <c r="M51" s="393"/>
      <c r="N51" s="393"/>
      <c r="O51" s="393"/>
      <c r="P51" s="393"/>
      <c r="Q51" s="77"/>
    </row>
    <row r="52" spans="2:17" ht="13" customHeight="1" x14ac:dyDescent="0.25">
      <c r="B52" s="76"/>
      <c r="C52" s="226">
        <v>11.13</v>
      </c>
      <c r="D52" s="243" t="s">
        <v>236</v>
      </c>
      <c r="E52" s="243"/>
      <c r="F52" s="243"/>
      <c r="G52" s="243"/>
      <c r="H52" s="243"/>
      <c r="I52" s="379" t="s">
        <v>144</v>
      </c>
      <c r="J52" s="379"/>
      <c r="K52" s="433" t="s">
        <v>369</v>
      </c>
      <c r="L52" s="433"/>
      <c r="M52" s="433"/>
      <c r="N52" s="433"/>
      <c r="O52" s="433"/>
      <c r="P52" s="433"/>
      <c r="Q52" s="77"/>
    </row>
    <row r="53" spans="2:17" ht="13" customHeight="1" x14ac:dyDescent="0.25">
      <c r="B53" s="76"/>
      <c r="C53" s="226"/>
      <c r="D53" s="243"/>
      <c r="E53" s="243"/>
      <c r="F53" s="243"/>
      <c r="G53" s="243"/>
      <c r="H53" s="243"/>
      <c r="I53" s="379"/>
      <c r="J53" s="379"/>
      <c r="K53" s="433"/>
      <c r="L53" s="433"/>
      <c r="M53" s="433"/>
      <c r="N53" s="433"/>
      <c r="O53" s="433"/>
      <c r="P53" s="433"/>
      <c r="Q53" s="77"/>
    </row>
    <row r="54" spans="2:17" ht="13" customHeight="1" thickBot="1" x14ac:dyDescent="0.3">
      <c r="B54" s="76"/>
      <c r="C54" s="227"/>
      <c r="D54" s="246"/>
      <c r="E54" s="246"/>
      <c r="F54" s="246"/>
      <c r="G54" s="246"/>
      <c r="H54" s="246"/>
      <c r="I54" s="381"/>
      <c r="J54" s="381"/>
      <c r="K54" s="434"/>
      <c r="L54" s="434"/>
      <c r="M54" s="434"/>
      <c r="N54" s="434"/>
      <c r="O54" s="434"/>
      <c r="P54" s="434"/>
      <c r="Q54" s="77"/>
    </row>
    <row r="55" spans="2:17" x14ac:dyDescent="0.25">
      <c r="B55" s="84"/>
      <c r="C55" s="85"/>
      <c r="D55" s="85"/>
      <c r="E55" s="85"/>
      <c r="F55" s="85"/>
      <c r="G55" s="85"/>
      <c r="H55" s="85"/>
      <c r="I55" s="136"/>
      <c r="J55" s="136"/>
      <c r="K55" s="85"/>
      <c r="L55" s="85"/>
      <c r="M55" s="85"/>
      <c r="N55" s="85"/>
      <c r="O55" s="85"/>
      <c r="P55" s="85"/>
      <c r="Q55" s="86"/>
    </row>
    <row r="57" spans="2:17" x14ac:dyDescent="0.25">
      <c r="C57" s="185" t="s">
        <v>312</v>
      </c>
    </row>
  </sheetData>
  <sheetProtection selectLockedCells="1" selectUnlockedCells="1"/>
  <mergeCells count="116">
    <mergeCell ref="D16:H16"/>
    <mergeCell ref="D17:H17"/>
    <mergeCell ref="I17:J17"/>
    <mergeCell ref="K17:P17"/>
    <mergeCell ref="C32:C33"/>
    <mergeCell ref="K30:P31"/>
    <mergeCell ref="I30:J31"/>
    <mergeCell ref="D30:H31"/>
    <mergeCell ref="C30:C31"/>
    <mergeCell ref="K44:P45"/>
    <mergeCell ref="I44:J45"/>
    <mergeCell ref="D44:H45"/>
    <mergeCell ref="C44:C45"/>
    <mergeCell ref="I50:J50"/>
    <mergeCell ref="I51:J51"/>
    <mergeCell ref="I48:J48"/>
    <mergeCell ref="I49:J49"/>
    <mergeCell ref="I47:J47"/>
    <mergeCell ref="I28:J28"/>
    <mergeCell ref="I34:J34"/>
    <mergeCell ref="I29:J29"/>
    <mergeCell ref="I24:J26"/>
    <mergeCell ref="I32:J33"/>
    <mergeCell ref="K8:P8"/>
    <mergeCell ref="K12:P12"/>
    <mergeCell ref="K13:P13"/>
    <mergeCell ref="K28:P28"/>
    <mergeCell ref="K20:P20"/>
    <mergeCell ref="K11:P11"/>
    <mergeCell ref="C3:F3"/>
    <mergeCell ref="K5:P6"/>
    <mergeCell ref="K48:P48"/>
    <mergeCell ref="K34:P34"/>
    <mergeCell ref="K14:P14"/>
    <mergeCell ref="K16:P16"/>
    <mergeCell ref="K7:P7"/>
    <mergeCell ref="I21:J21"/>
    <mergeCell ref="I22:J22"/>
    <mergeCell ref="I20:J20"/>
    <mergeCell ref="I7:J7"/>
    <mergeCell ref="I8:J8"/>
    <mergeCell ref="I9:J9"/>
    <mergeCell ref="I10:J10"/>
    <mergeCell ref="I12:J12"/>
    <mergeCell ref="K40:P40"/>
    <mergeCell ref="K46:P46"/>
    <mergeCell ref="K47:P47"/>
    <mergeCell ref="K51:P51"/>
    <mergeCell ref="K52:P54"/>
    <mergeCell ref="K37:P37"/>
    <mergeCell ref="K9:P9"/>
    <mergeCell ref="K22:P22"/>
    <mergeCell ref="K23:P23"/>
    <mergeCell ref="K21:P21"/>
    <mergeCell ref="K10:P10"/>
    <mergeCell ref="K29:O29"/>
    <mergeCell ref="K35:P35"/>
    <mergeCell ref="K49:P49"/>
    <mergeCell ref="K50:P50"/>
    <mergeCell ref="K24:P26"/>
    <mergeCell ref="K32:P33"/>
    <mergeCell ref="I5:J6"/>
    <mergeCell ref="D11:H11"/>
    <mergeCell ref="D13:H13"/>
    <mergeCell ref="D15:H15"/>
    <mergeCell ref="I35:J35"/>
    <mergeCell ref="I36:J36"/>
    <mergeCell ref="I40:J40"/>
    <mergeCell ref="I46:J46"/>
    <mergeCell ref="C5:H6"/>
    <mergeCell ref="I23:J23"/>
    <mergeCell ref="I11:J11"/>
    <mergeCell ref="I13:J13"/>
    <mergeCell ref="I16:J16"/>
    <mergeCell ref="I14:J14"/>
    <mergeCell ref="D14:H14"/>
    <mergeCell ref="D10:H10"/>
    <mergeCell ref="D12:H12"/>
    <mergeCell ref="D18:H19"/>
    <mergeCell ref="D7:H7"/>
    <mergeCell ref="D8:H8"/>
    <mergeCell ref="D9:H9"/>
    <mergeCell ref="D24:H26"/>
    <mergeCell ref="C24:C26"/>
    <mergeCell ref="D34:H34"/>
    <mergeCell ref="D35:H35"/>
    <mergeCell ref="D48:H48"/>
    <mergeCell ref="D49:H49"/>
    <mergeCell ref="D50:H50"/>
    <mergeCell ref="D23:H23"/>
    <mergeCell ref="D27:H27"/>
    <mergeCell ref="D47:H47"/>
    <mergeCell ref="D32:H33"/>
    <mergeCell ref="C18:C19"/>
    <mergeCell ref="I18:J19"/>
    <mergeCell ref="K18:P19"/>
    <mergeCell ref="I52:J54"/>
    <mergeCell ref="D52:H54"/>
    <mergeCell ref="C52:C54"/>
    <mergeCell ref="I37:J37"/>
    <mergeCell ref="I38:J38"/>
    <mergeCell ref="I39:J39"/>
    <mergeCell ref="K38:P38"/>
    <mergeCell ref="K39:P39"/>
    <mergeCell ref="I41:J41"/>
    <mergeCell ref="I42:J42"/>
    <mergeCell ref="I43:J43"/>
    <mergeCell ref="D36:H36"/>
    <mergeCell ref="D40:H40"/>
    <mergeCell ref="D46:H46"/>
    <mergeCell ref="D28:H28"/>
    <mergeCell ref="D29:H29"/>
    <mergeCell ref="D51:H51"/>
    <mergeCell ref="D22:H22"/>
    <mergeCell ref="D21:H21"/>
    <mergeCell ref="D20:H20"/>
  </mergeCells>
  <conditionalFormatting sqref="I7:J14 I16:J16 I18:J54 I17">
    <cfRule type="containsText" dxfId="4" priority="2" operator="containsText" text="Inputs still required">
      <formula>NOT(ISERROR(SEARCH("Inputs still required",I7)))</formula>
    </cfRule>
    <cfRule type="containsText" dxfId="3" priority="3" operator="containsText" text="No">
      <formula>NOT(ISERROR(SEARCH("No",I7)))</formula>
    </cfRule>
    <cfRule type="containsText" dxfId="2" priority="4" operator="containsText" text="May apply">
      <formula>NOT(ISERROR(SEARCH("May apply",I7)))</formula>
    </cfRule>
    <cfRule type="containsText" dxfId="1" priority="5" operator="containsText" text="Yes">
      <formula>NOT(ISERROR(SEARCH("Yes",I7)))</formula>
    </cfRule>
  </conditionalFormatting>
  <conditionalFormatting sqref="I24:J26">
    <cfRule type="containsText" dxfId="0" priority="1" operator="containsText" text="Requires assessment">
      <formula>NOT(ISERROR(SEARCH("Requires assessment",I24)))</formula>
    </cfRule>
  </conditionalFormatting>
  <pageMargins left="0.39370078740157483" right="0.39370078740157483" top="0.39370078740157483" bottom="0.39370078740157483" header="0.19685039370078741" footer="0.19685039370078741"/>
  <pageSetup paperSize="9" scale="94" orientation="landscape" r:id="rId1"/>
  <headerFooter>
    <oddHeader>&amp;L&amp;"Calibri"&amp;10&amp;K000000Official&amp;1#_x000D_&amp;"Calibri"&amp;11&amp;K000000&amp;9&amp;F</oddHeader>
    <oddFooter>&amp;R&amp;9Page &amp;P of &amp;N</oddFooter>
  </headerFooter>
  <rowBreaks count="1" manualBreakCount="1">
    <brk id="50" min="1" max="16"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380462-9BAE-4D8A-8F08-25025DF2B194}">
  <dimension ref="A1:A3"/>
  <sheetViews>
    <sheetView workbookViewId="0">
      <selection activeCell="A4" sqref="A4"/>
    </sheetView>
  </sheetViews>
  <sheetFormatPr defaultRowHeight="12.5" x14ac:dyDescent="0.25"/>
  <sheetData>
    <row r="1" spans="1:1" x14ac:dyDescent="0.25">
      <c r="A1" t="s">
        <v>281</v>
      </c>
    </row>
    <row r="2" spans="1:1" x14ac:dyDescent="0.25">
      <c r="A2" t="s">
        <v>282</v>
      </c>
    </row>
    <row r="3" spans="1:1" x14ac:dyDescent="0.25">
      <c r="A3" t="s">
        <v>283</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2"/>
  <dimension ref="A1:D201"/>
  <sheetViews>
    <sheetView workbookViewId="0">
      <selection activeCell="C7" sqref="C7"/>
    </sheetView>
  </sheetViews>
  <sheetFormatPr defaultRowHeight="12.5" x14ac:dyDescent="0.25"/>
  <cols>
    <col min="1" max="1" width="19.26953125" customWidth="1"/>
    <col min="2" max="2" width="32.54296875" customWidth="1"/>
    <col min="3" max="3" width="27.1796875" customWidth="1"/>
  </cols>
  <sheetData>
    <row r="1" spans="1:4" ht="13" x14ac:dyDescent="0.3">
      <c r="A1" s="2" t="s">
        <v>117</v>
      </c>
      <c r="B1" s="2" t="s">
        <v>147</v>
      </c>
      <c r="C1" s="59" t="s">
        <v>111</v>
      </c>
      <c r="D1" s="55"/>
    </row>
    <row r="2" spans="1:4" x14ac:dyDescent="0.25">
      <c r="A2">
        <v>0</v>
      </c>
      <c r="B2" t="s">
        <v>118</v>
      </c>
      <c r="C2" t="str">
        <f>IF('Development Details'!G8="Residential", IF('Development Details'!G32&gt;=200, "R6", VLOOKUP('Development Details'!G32,'Lookup Development Size'!$A$2:$B$201,2,0)), IF('Development Details'!G8="Non-Residential", IF('Development Details'!G62&lt;1000,A!C49,
IF('Development Details'!G62&lt;10000,A!C50, A!C51)), Inputs_still_required))</f>
        <v>Inputs still required</v>
      </c>
    </row>
    <row r="3" spans="1:4" x14ac:dyDescent="0.25">
      <c r="A3">
        <v>1</v>
      </c>
      <c r="B3" t="s">
        <v>118</v>
      </c>
    </row>
    <row r="4" spans="1:4" x14ac:dyDescent="0.25">
      <c r="A4">
        <v>2</v>
      </c>
      <c r="B4" t="s">
        <v>118</v>
      </c>
    </row>
    <row r="5" spans="1:4" x14ac:dyDescent="0.25">
      <c r="A5">
        <v>3</v>
      </c>
      <c r="B5" t="s">
        <v>118</v>
      </c>
    </row>
    <row r="6" spans="1:4" x14ac:dyDescent="0.25">
      <c r="A6">
        <v>4</v>
      </c>
      <c r="B6" t="s">
        <v>118</v>
      </c>
    </row>
    <row r="7" spans="1:4" x14ac:dyDescent="0.25">
      <c r="A7">
        <v>5</v>
      </c>
      <c r="B7" t="s">
        <v>118</v>
      </c>
    </row>
    <row r="8" spans="1:4" x14ac:dyDescent="0.25">
      <c r="A8">
        <v>6</v>
      </c>
      <c r="B8" t="s">
        <v>118</v>
      </c>
    </row>
    <row r="9" spans="1:4" x14ac:dyDescent="0.25">
      <c r="A9">
        <v>7</v>
      </c>
      <c r="B9" t="s">
        <v>118</v>
      </c>
    </row>
    <row r="10" spans="1:4" x14ac:dyDescent="0.25">
      <c r="A10">
        <v>8</v>
      </c>
      <c r="B10" t="s">
        <v>118</v>
      </c>
    </row>
    <row r="11" spans="1:4" x14ac:dyDescent="0.25">
      <c r="A11">
        <v>9</v>
      </c>
      <c r="B11" t="s">
        <v>118</v>
      </c>
    </row>
    <row r="12" spans="1:4" x14ac:dyDescent="0.25">
      <c r="A12">
        <v>10</v>
      </c>
      <c r="B12" t="s">
        <v>120</v>
      </c>
    </row>
    <row r="13" spans="1:4" x14ac:dyDescent="0.25">
      <c r="A13">
        <v>11</v>
      </c>
      <c r="B13" t="s">
        <v>120</v>
      </c>
    </row>
    <row r="14" spans="1:4" x14ac:dyDescent="0.25">
      <c r="A14">
        <v>12</v>
      </c>
      <c r="B14" t="s">
        <v>120</v>
      </c>
    </row>
    <row r="15" spans="1:4" x14ac:dyDescent="0.25">
      <c r="A15">
        <v>13</v>
      </c>
      <c r="B15" t="s">
        <v>120</v>
      </c>
    </row>
    <row r="16" spans="1:4" x14ac:dyDescent="0.25">
      <c r="A16">
        <v>14</v>
      </c>
      <c r="B16" t="s">
        <v>120</v>
      </c>
    </row>
    <row r="17" spans="1:2" x14ac:dyDescent="0.25">
      <c r="A17">
        <v>15</v>
      </c>
      <c r="B17" t="s">
        <v>120</v>
      </c>
    </row>
    <row r="18" spans="1:2" x14ac:dyDescent="0.25">
      <c r="A18">
        <v>16</v>
      </c>
      <c r="B18" t="s">
        <v>120</v>
      </c>
    </row>
    <row r="19" spans="1:2" x14ac:dyDescent="0.25">
      <c r="A19">
        <v>17</v>
      </c>
      <c r="B19" t="s">
        <v>120</v>
      </c>
    </row>
    <row r="20" spans="1:2" x14ac:dyDescent="0.25">
      <c r="A20">
        <v>18</v>
      </c>
      <c r="B20" t="s">
        <v>120</v>
      </c>
    </row>
    <row r="21" spans="1:2" x14ac:dyDescent="0.25">
      <c r="A21">
        <v>19</v>
      </c>
      <c r="B21" t="s">
        <v>120</v>
      </c>
    </row>
    <row r="22" spans="1:2" x14ac:dyDescent="0.25">
      <c r="A22">
        <v>20</v>
      </c>
      <c r="B22" t="s">
        <v>120</v>
      </c>
    </row>
    <row r="23" spans="1:2" x14ac:dyDescent="0.25">
      <c r="A23">
        <v>21</v>
      </c>
      <c r="B23" t="s">
        <v>120</v>
      </c>
    </row>
    <row r="24" spans="1:2" x14ac:dyDescent="0.25">
      <c r="A24">
        <v>22</v>
      </c>
      <c r="B24" t="s">
        <v>120</v>
      </c>
    </row>
    <row r="25" spans="1:2" x14ac:dyDescent="0.25">
      <c r="A25">
        <v>23</v>
      </c>
      <c r="B25" t="s">
        <v>120</v>
      </c>
    </row>
    <row r="26" spans="1:2" x14ac:dyDescent="0.25">
      <c r="A26">
        <v>24</v>
      </c>
      <c r="B26" t="s">
        <v>120</v>
      </c>
    </row>
    <row r="27" spans="1:2" x14ac:dyDescent="0.25">
      <c r="A27">
        <v>25</v>
      </c>
      <c r="B27" t="s">
        <v>120</v>
      </c>
    </row>
    <row r="28" spans="1:2" x14ac:dyDescent="0.25">
      <c r="A28">
        <v>26</v>
      </c>
      <c r="B28" t="s">
        <v>120</v>
      </c>
    </row>
    <row r="29" spans="1:2" x14ac:dyDescent="0.25">
      <c r="A29">
        <v>27</v>
      </c>
      <c r="B29" t="s">
        <v>120</v>
      </c>
    </row>
    <row r="30" spans="1:2" x14ac:dyDescent="0.25">
      <c r="A30">
        <v>28</v>
      </c>
      <c r="B30" t="s">
        <v>120</v>
      </c>
    </row>
    <row r="31" spans="1:2" x14ac:dyDescent="0.25">
      <c r="A31">
        <v>29</v>
      </c>
      <c r="B31" t="s">
        <v>120</v>
      </c>
    </row>
    <row r="32" spans="1:2" x14ac:dyDescent="0.25">
      <c r="A32">
        <v>30</v>
      </c>
      <c r="B32" t="s">
        <v>120</v>
      </c>
    </row>
    <row r="33" spans="1:2" x14ac:dyDescent="0.25">
      <c r="A33">
        <v>31</v>
      </c>
      <c r="B33" t="s">
        <v>120</v>
      </c>
    </row>
    <row r="34" spans="1:2" x14ac:dyDescent="0.25">
      <c r="A34">
        <v>32</v>
      </c>
      <c r="B34" t="s">
        <v>120</v>
      </c>
    </row>
    <row r="35" spans="1:2" x14ac:dyDescent="0.25">
      <c r="A35">
        <v>33</v>
      </c>
      <c r="B35" t="s">
        <v>120</v>
      </c>
    </row>
    <row r="36" spans="1:2" x14ac:dyDescent="0.25">
      <c r="A36">
        <v>34</v>
      </c>
      <c r="B36" t="s">
        <v>120</v>
      </c>
    </row>
    <row r="37" spans="1:2" x14ac:dyDescent="0.25">
      <c r="A37">
        <v>35</v>
      </c>
      <c r="B37" t="s">
        <v>120</v>
      </c>
    </row>
    <row r="38" spans="1:2" x14ac:dyDescent="0.25">
      <c r="A38">
        <v>36</v>
      </c>
      <c r="B38" t="s">
        <v>120</v>
      </c>
    </row>
    <row r="39" spans="1:2" x14ac:dyDescent="0.25">
      <c r="A39">
        <v>37</v>
      </c>
      <c r="B39" t="s">
        <v>120</v>
      </c>
    </row>
    <row r="40" spans="1:2" x14ac:dyDescent="0.25">
      <c r="A40">
        <v>38</v>
      </c>
      <c r="B40" t="s">
        <v>120</v>
      </c>
    </row>
    <row r="41" spans="1:2" x14ac:dyDescent="0.25">
      <c r="A41">
        <v>39</v>
      </c>
      <c r="B41" t="s">
        <v>120</v>
      </c>
    </row>
    <row r="42" spans="1:2" x14ac:dyDescent="0.25">
      <c r="A42">
        <v>40</v>
      </c>
      <c r="B42" t="s">
        <v>120</v>
      </c>
    </row>
    <row r="43" spans="1:2" x14ac:dyDescent="0.25">
      <c r="A43">
        <v>41</v>
      </c>
      <c r="B43" t="s">
        <v>120</v>
      </c>
    </row>
    <row r="44" spans="1:2" x14ac:dyDescent="0.25">
      <c r="A44">
        <v>42</v>
      </c>
      <c r="B44" t="s">
        <v>120</v>
      </c>
    </row>
    <row r="45" spans="1:2" x14ac:dyDescent="0.25">
      <c r="A45">
        <v>43</v>
      </c>
      <c r="B45" t="s">
        <v>120</v>
      </c>
    </row>
    <row r="46" spans="1:2" x14ac:dyDescent="0.25">
      <c r="A46">
        <v>44</v>
      </c>
      <c r="B46" t="s">
        <v>120</v>
      </c>
    </row>
    <row r="47" spans="1:2" x14ac:dyDescent="0.25">
      <c r="A47">
        <v>45</v>
      </c>
      <c r="B47" t="s">
        <v>120</v>
      </c>
    </row>
    <row r="48" spans="1:2" x14ac:dyDescent="0.25">
      <c r="A48">
        <v>46</v>
      </c>
      <c r="B48" t="s">
        <v>120</v>
      </c>
    </row>
    <row r="49" spans="1:2" x14ac:dyDescent="0.25">
      <c r="A49">
        <v>47</v>
      </c>
      <c r="B49" t="s">
        <v>120</v>
      </c>
    </row>
    <row r="50" spans="1:2" x14ac:dyDescent="0.25">
      <c r="A50">
        <v>48</v>
      </c>
      <c r="B50" t="s">
        <v>120</v>
      </c>
    </row>
    <row r="51" spans="1:2" x14ac:dyDescent="0.25">
      <c r="A51">
        <v>49</v>
      </c>
      <c r="B51" t="s">
        <v>120</v>
      </c>
    </row>
    <row r="52" spans="1:2" x14ac:dyDescent="0.25">
      <c r="A52">
        <v>50</v>
      </c>
      <c r="B52" t="s">
        <v>122</v>
      </c>
    </row>
    <row r="53" spans="1:2" x14ac:dyDescent="0.25">
      <c r="A53">
        <v>51</v>
      </c>
      <c r="B53" t="s">
        <v>122</v>
      </c>
    </row>
    <row r="54" spans="1:2" x14ac:dyDescent="0.25">
      <c r="A54">
        <v>52</v>
      </c>
      <c r="B54" t="s">
        <v>122</v>
      </c>
    </row>
    <row r="55" spans="1:2" x14ac:dyDescent="0.25">
      <c r="A55">
        <v>53</v>
      </c>
      <c r="B55" t="s">
        <v>122</v>
      </c>
    </row>
    <row r="56" spans="1:2" x14ac:dyDescent="0.25">
      <c r="A56">
        <v>54</v>
      </c>
      <c r="B56" t="s">
        <v>122</v>
      </c>
    </row>
    <row r="57" spans="1:2" x14ac:dyDescent="0.25">
      <c r="A57">
        <v>55</v>
      </c>
      <c r="B57" t="s">
        <v>122</v>
      </c>
    </row>
    <row r="58" spans="1:2" x14ac:dyDescent="0.25">
      <c r="A58">
        <v>56</v>
      </c>
      <c r="B58" t="s">
        <v>122</v>
      </c>
    </row>
    <row r="59" spans="1:2" x14ac:dyDescent="0.25">
      <c r="A59">
        <v>57</v>
      </c>
      <c r="B59" t="s">
        <v>122</v>
      </c>
    </row>
    <row r="60" spans="1:2" x14ac:dyDescent="0.25">
      <c r="A60">
        <v>58</v>
      </c>
      <c r="B60" t="s">
        <v>122</v>
      </c>
    </row>
    <row r="61" spans="1:2" x14ac:dyDescent="0.25">
      <c r="A61">
        <v>59</v>
      </c>
      <c r="B61" t="s">
        <v>122</v>
      </c>
    </row>
    <row r="62" spans="1:2" x14ac:dyDescent="0.25">
      <c r="A62">
        <v>60</v>
      </c>
      <c r="B62" t="s">
        <v>122</v>
      </c>
    </row>
    <row r="63" spans="1:2" x14ac:dyDescent="0.25">
      <c r="A63">
        <v>61</v>
      </c>
      <c r="B63" t="s">
        <v>122</v>
      </c>
    </row>
    <row r="64" spans="1:2" x14ac:dyDescent="0.25">
      <c r="A64">
        <v>62</v>
      </c>
      <c r="B64" t="s">
        <v>122</v>
      </c>
    </row>
    <row r="65" spans="1:2" x14ac:dyDescent="0.25">
      <c r="A65">
        <v>63</v>
      </c>
      <c r="B65" t="s">
        <v>122</v>
      </c>
    </row>
    <row r="66" spans="1:2" x14ac:dyDescent="0.25">
      <c r="A66">
        <v>64</v>
      </c>
      <c r="B66" t="s">
        <v>122</v>
      </c>
    </row>
    <row r="67" spans="1:2" x14ac:dyDescent="0.25">
      <c r="A67">
        <v>65</v>
      </c>
      <c r="B67" t="s">
        <v>122</v>
      </c>
    </row>
    <row r="68" spans="1:2" x14ac:dyDescent="0.25">
      <c r="A68">
        <v>66</v>
      </c>
      <c r="B68" t="s">
        <v>122</v>
      </c>
    </row>
    <row r="69" spans="1:2" x14ac:dyDescent="0.25">
      <c r="A69">
        <v>67</v>
      </c>
      <c r="B69" t="s">
        <v>122</v>
      </c>
    </row>
    <row r="70" spans="1:2" x14ac:dyDescent="0.25">
      <c r="A70">
        <v>68</v>
      </c>
      <c r="B70" t="s">
        <v>122</v>
      </c>
    </row>
    <row r="71" spans="1:2" x14ac:dyDescent="0.25">
      <c r="A71">
        <v>69</v>
      </c>
      <c r="B71" t="s">
        <v>122</v>
      </c>
    </row>
    <row r="72" spans="1:2" x14ac:dyDescent="0.25">
      <c r="A72">
        <v>70</v>
      </c>
      <c r="B72" t="s">
        <v>122</v>
      </c>
    </row>
    <row r="73" spans="1:2" x14ac:dyDescent="0.25">
      <c r="A73">
        <v>71</v>
      </c>
      <c r="B73" t="s">
        <v>122</v>
      </c>
    </row>
    <row r="74" spans="1:2" x14ac:dyDescent="0.25">
      <c r="A74">
        <v>72</v>
      </c>
      <c r="B74" t="s">
        <v>122</v>
      </c>
    </row>
    <row r="75" spans="1:2" x14ac:dyDescent="0.25">
      <c r="A75">
        <v>73</v>
      </c>
      <c r="B75" t="s">
        <v>122</v>
      </c>
    </row>
    <row r="76" spans="1:2" x14ac:dyDescent="0.25">
      <c r="A76">
        <v>74</v>
      </c>
      <c r="B76" t="s">
        <v>122</v>
      </c>
    </row>
    <row r="77" spans="1:2" x14ac:dyDescent="0.25">
      <c r="A77">
        <v>75</v>
      </c>
      <c r="B77" t="s">
        <v>122</v>
      </c>
    </row>
    <row r="78" spans="1:2" x14ac:dyDescent="0.25">
      <c r="A78">
        <v>76</v>
      </c>
      <c r="B78" t="s">
        <v>122</v>
      </c>
    </row>
    <row r="79" spans="1:2" x14ac:dyDescent="0.25">
      <c r="A79">
        <v>77</v>
      </c>
      <c r="B79" t="s">
        <v>122</v>
      </c>
    </row>
    <row r="80" spans="1:2" x14ac:dyDescent="0.25">
      <c r="A80">
        <v>78</v>
      </c>
      <c r="B80" t="s">
        <v>122</v>
      </c>
    </row>
    <row r="81" spans="1:2" x14ac:dyDescent="0.25">
      <c r="A81">
        <v>79</v>
      </c>
      <c r="B81" t="s">
        <v>122</v>
      </c>
    </row>
    <row r="82" spans="1:2" x14ac:dyDescent="0.25">
      <c r="A82">
        <v>80</v>
      </c>
      <c r="B82" t="s">
        <v>122</v>
      </c>
    </row>
    <row r="83" spans="1:2" x14ac:dyDescent="0.25">
      <c r="A83">
        <v>81</v>
      </c>
      <c r="B83" t="s">
        <v>122</v>
      </c>
    </row>
    <row r="84" spans="1:2" x14ac:dyDescent="0.25">
      <c r="A84">
        <v>82</v>
      </c>
      <c r="B84" t="s">
        <v>122</v>
      </c>
    </row>
    <row r="85" spans="1:2" x14ac:dyDescent="0.25">
      <c r="A85">
        <v>83</v>
      </c>
      <c r="B85" t="s">
        <v>122</v>
      </c>
    </row>
    <row r="86" spans="1:2" x14ac:dyDescent="0.25">
      <c r="A86">
        <v>84</v>
      </c>
      <c r="B86" t="s">
        <v>122</v>
      </c>
    </row>
    <row r="87" spans="1:2" x14ac:dyDescent="0.25">
      <c r="A87">
        <v>85</v>
      </c>
      <c r="B87" t="s">
        <v>122</v>
      </c>
    </row>
    <row r="88" spans="1:2" x14ac:dyDescent="0.25">
      <c r="A88">
        <v>86</v>
      </c>
      <c r="B88" t="s">
        <v>122</v>
      </c>
    </row>
    <row r="89" spans="1:2" x14ac:dyDescent="0.25">
      <c r="A89">
        <v>87</v>
      </c>
      <c r="B89" t="s">
        <v>122</v>
      </c>
    </row>
    <row r="90" spans="1:2" x14ac:dyDescent="0.25">
      <c r="A90">
        <v>88</v>
      </c>
      <c r="B90" t="s">
        <v>122</v>
      </c>
    </row>
    <row r="91" spans="1:2" x14ac:dyDescent="0.25">
      <c r="A91">
        <v>89</v>
      </c>
      <c r="B91" t="s">
        <v>122</v>
      </c>
    </row>
    <row r="92" spans="1:2" x14ac:dyDescent="0.25">
      <c r="A92">
        <v>90</v>
      </c>
      <c r="B92" t="s">
        <v>122</v>
      </c>
    </row>
    <row r="93" spans="1:2" x14ac:dyDescent="0.25">
      <c r="A93">
        <v>91</v>
      </c>
      <c r="B93" t="s">
        <v>122</v>
      </c>
    </row>
    <row r="94" spans="1:2" x14ac:dyDescent="0.25">
      <c r="A94">
        <v>92</v>
      </c>
      <c r="B94" t="s">
        <v>122</v>
      </c>
    </row>
    <row r="95" spans="1:2" x14ac:dyDescent="0.25">
      <c r="A95">
        <v>93</v>
      </c>
      <c r="B95" t="s">
        <v>122</v>
      </c>
    </row>
    <row r="96" spans="1:2" x14ac:dyDescent="0.25">
      <c r="A96">
        <v>94</v>
      </c>
      <c r="B96" t="s">
        <v>122</v>
      </c>
    </row>
    <row r="97" spans="1:2" x14ac:dyDescent="0.25">
      <c r="A97">
        <v>95</v>
      </c>
      <c r="B97" t="s">
        <v>122</v>
      </c>
    </row>
    <row r="98" spans="1:2" x14ac:dyDescent="0.25">
      <c r="A98">
        <v>96</v>
      </c>
      <c r="B98" t="s">
        <v>122</v>
      </c>
    </row>
    <row r="99" spans="1:2" x14ac:dyDescent="0.25">
      <c r="A99">
        <v>97</v>
      </c>
      <c r="B99" t="s">
        <v>122</v>
      </c>
    </row>
    <row r="100" spans="1:2" x14ac:dyDescent="0.25">
      <c r="A100">
        <v>98</v>
      </c>
      <c r="B100" t="s">
        <v>122</v>
      </c>
    </row>
    <row r="101" spans="1:2" x14ac:dyDescent="0.25">
      <c r="A101">
        <v>99</v>
      </c>
      <c r="B101" t="s">
        <v>122</v>
      </c>
    </row>
    <row r="102" spans="1:2" x14ac:dyDescent="0.25">
      <c r="A102">
        <v>100</v>
      </c>
      <c r="B102" t="s">
        <v>124</v>
      </c>
    </row>
    <row r="103" spans="1:2" x14ac:dyDescent="0.25">
      <c r="A103">
        <v>101</v>
      </c>
      <c r="B103" t="s">
        <v>124</v>
      </c>
    </row>
    <row r="104" spans="1:2" x14ac:dyDescent="0.25">
      <c r="A104">
        <v>102</v>
      </c>
      <c r="B104" t="s">
        <v>124</v>
      </c>
    </row>
    <row r="105" spans="1:2" x14ac:dyDescent="0.25">
      <c r="A105">
        <v>103</v>
      </c>
      <c r="B105" t="s">
        <v>124</v>
      </c>
    </row>
    <row r="106" spans="1:2" x14ac:dyDescent="0.25">
      <c r="A106">
        <v>104</v>
      </c>
      <c r="B106" t="s">
        <v>124</v>
      </c>
    </row>
    <row r="107" spans="1:2" x14ac:dyDescent="0.25">
      <c r="A107">
        <v>105</v>
      </c>
      <c r="B107" t="s">
        <v>124</v>
      </c>
    </row>
    <row r="108" spans="1:2" x14ac:dyDescent="0.25">
      <c r="A108">
        <v>106</v>
      </c>
      <c r="B108" t="s">
        <v>124</v>
      </c>
    </row>
    <row r="109" spans="1:2" x14ac:dyDescent="0.25">
      <c r="A109">
        <v>107</v>
      </c>
      <c r="B109" t="s">
        <v>124</v>
      </c>
    </row>
    <row r="110" spans="1:2" x14ac:dyDescent="0.25">
      <c r="A110">
        <v>108</v>
      </c>
      <c r="B110" t="s">
        <v>124</v>
      </c>
    </row>
    <row r="111" spans="1:2" x14ac:dyDescent="0.25">
      <c r="A111">
        <v>109</v>
      </c>
      <c r="B111" t="s">
        <v>124</v>
      </c>
    </row>
    <row r="112" spans="1:2" x14ac:dyDescent="0.25">
      <c r="A112">
        <v>110</v>
      </c>
      <c r="B112" t="s">
        <v>124</v>
      </c>
    </row>
    <row r="113" spans="1:2" x14ac:dyDescent="0.25">
      <c r="A113">
        <v>111</v>
      </c>
      <c r="B113" t="s">
        <v>124</v>
      </c>
    </row>
    <row r="114" spans="1:2" x14ac:dyDescent="0.25">
      <c r="A114">
        <v>112</v>
      </c>
      <c r="B114" t="s">
        <v>124</v>
      </c>
    </row>
    <row r="115" spans="1:2" x14ac:dyDescent="0.25">
      <c r="A115">
        <v>113</v>
      </c>
      <c r="B115" t="s">
        <v>124</v>
      </c>
    </row>
    <row r="116" spans="1:2" x14ac:dyDescent="0.25">
      <c r="A116">
        <v>114</v>
      </c>
      <c r="B116" t="s">
        <v>124</v>
      </c>
    </row>
    <row r="117" spans="1:2" x14ac:dyDescent="0.25">
      <c r="A117">
        <v>115</v>
      </c>
      <c r="B117" t="s">
        <v>124</v>
      </c>
    </row>
    <row r="118" spans="1:2" x14ac:dyDescent="0.25">
      <c r="A118">
        <v>116</v>
      </c>
      <c r="B118" t="s">
        <v>124</v>
      </c>
    </row>
    <row r="119" spans="1:2" x14ac:dyDescent="0.25">
      <c r="A119">
        <v>117</v>
      </c>
      <c r="B119" t="s">
        <v>124</v>
      </c>
    </row>
    <row r="120" spans="1:2" x14ac:dyDescent="0.25">
      <c r="A120">
        <v>118</v>
      </c>
      <c r="B120" t="s">
        <v>124</v>
      </c>
    </row>
    <row r="121" spans="1:2" x14ac:dyDescent="0.25">
      <c r="A121">
        <v>119</v>
      </c>
      <c r="B121" t="s">
        <v>124</v>
      </c>
    </row>
    <row r="122" spans="1:2" x14ac:dyDescent="0.25">
      <c r="A122">
        <v>120</v>
      </c>
      <c r="B122" t="s">
        <v>124</v>
      </c>
    </row>
    <row r="123" spans="1:2" x14ac:dyDescent="0.25">
      <c r="A123">
        <v>121</v>
      </c>
      <c r="B123" t="s">
        <v>124</v>
      </c>
    </row>
    <row r="124" spans="1:2" x14ac:dyDescent="0.25">
      <c r="A124">
        <v>122</v>
      </c>
      <c r="B124" t="s">
        <v>124</v>
      </c>
    </row>
    <row r="125" spans="1:2" x14ac:dyDescent="0.25">
      <c r="A125">
        <v>123</v>
      </c>
      <c r="B125" t="s">
        <v>124</v>
      </c>
    </row>
    <row r="126" spans="1:2" x14ac:dyDescent="0.25">
      <c r="A126">
        <v>124</v>
      </c>
      <c r="B126" t="s">
        <v>124</v>
      </c>
    </row>
    <row r="127" spans="1:2" x14ac:dyDescent="0.25">
      <c r="A127">
        <v>125</v>
      </c>
      <c r="B127" t="s">
        <v>124</v>
      </c>
    </row>
    <row r="128" spans="1:2" x14ac:dyDescent="0.25">
      <c r="A128">
        <v>126</v>
      </c>
      <c r="B128" t="s">
        <v>124</v>
      </c>
    </row>
    <row r="129" spans="1:2" x14ac:dyDescent="0.25">
      <c r="A129">
        <v>127</v>
      </c>
      <c r="B129" t="s">
        <v>124</v>
      </c>
    </row>
    <row r="130" spans="1:2" x14ac:dyDescent="0.25">
      <c r="A130">
        <v>128</v>
      </c>
      <c r="B130" t="s">
        <v>124</v>
      </c>
    </row>
    <row r="131" spans="1:2" x14ac:dyDescent="0.25">
      <c r="A131">
        <v>129</v>
      </c>
      <c r="B131" t="s">
        <v>124</v>
      </c>
    </row>
    <row r="132" spans="1:2" x14ac:dyDescent="0.25">
      <c r="A132">
        <v>130</v>
      </c>
      <c r="B132" t="s">
        <v>124</v>
      </c>
    </row>
    <row r="133" spans="1:2" x14ac:dyDescent="0.25">
      <c r="A133">
        <v>131</v>
      </c>
      <c r="B133" t="s">
        <v>124</v>
      </c>
    </row>
    <row r="134" spans="1:2" x14ac:dyDescent="0.25">
      <c r="A134">
        <v>132</v>
      </c>
      <c r="B134" t="s">
        <v>124</v>
      </c>
    </row>
    <row r="135" spans="1:2" x14ac:dyDescent="0.25">
      <c r="A135">
        <v>133</v>
      </c>
      <c r="B135" t="s">
        <v>124</v>
      </c>
    </row>
    <row r="136" spans="1:2" x14ac:dyDescent="0.25">
      <c r="A136">
        <v>134</v>
      </c>
      <c r="B136" t="s">
        <v>124</v>
      </c>
    </row>
    <row r="137" spans="1:2" x14ac:dyDescent="0.25">
      <c r="A137">
        <v>135</v>
      </c>
      <c r="B137" t="s">
        <v>124</v>
      </c>
    </row>
    <row r="138" spans="1:2" x14ac:dyDescent="0.25">
      <c r="A138">
        <v>136</v>
      </c>
      <c r="B138" t="s">
        <v>124</v>
      </c>
    </row>
    <row r="139" spans="1:2" x14ac:dyDescent="0.25">
      <c r="A139">
        <v>137</v>
      </c>
      <c r="B139" t="s">
        <v>124</v>
      </c>
    </row>
    <row r="140" spans="1:2" x14ac:dyDescent="0.25">
      <c r="A140">
        <v>138</v>
      </c>
      <c r="B140" t="s">
        <v>124</v>
      </c>
    </row>
    <row r="141" spans="1:2" x14ac:dyDescent="0.25">
      <c r="A141">
        <v>139</v>
      </c>
      <c r="B141" t="s">
        <v>124</v>
      </c>
    </row>
    <row r="142" spans="1:2" x14ac:dyDescent="0.25">
      <c r="A142">
        <v>140</v>
      </c>
      <c r="B142" t="s">
        <v>124</v>
      </c>
    </row>
    <row r="143" spans="1:2" x14ac:dyDescent="0.25">
      <c r="A143">
        <v>141</v>
      </c>
      <c r="B143" t="s">
        <v>124</v>
      </c>
    </row>
    <row r="144" spans="1:2" x14ac:dyDescent="0.25">
      <c r="A144">
        <v>142</v>
      </c>
      <c r="B144" t="s">
        <v>124</v>
      </c>
    </row>
    <row r="145" spans="1:2" x14ac:dyDescent="0.25">
      <c r="A145">
        <v>143</v>
      </c>
      <c r="B145" t="s">
        <v>124</v>
      </c>
    </row>
    <row r="146" spans="1:2" x14ac:dyDescent="0.25">
      <c r="A146">
        <v>144</v>
      </c>
      <c r="B146" t="s">
        <v>124</v>
      </c>
    </row>
    <row r="147" spans="1:2" x14ac:dyDescent="0.25">
      <c r="A147">
        <v>145</v>
      </c>
      <c r="B147" t="s">
        <v>124</v>
      </c>
    </row>
    <row r="148" spans="1:2" x14ac:dyDescent="0.25">
      <c r="A148">
        <v>146</v>
      </c>
      <c r="B148" t="s">
        <v>124</v>
      </c>
    </row>
    <row r="149" spans="1:2" x14ac:dyDescent="0.25">
      <c r="A149">
        <v>147</v>
      </c>
      <c r="B149" t="s">
        <v>124</v>
      </c>
    </row>
    <row r="150" spans="1:2" x14ac:dyDescent="0.25">
      <c r="A150">
        <v>148</v>
      </c>
      <c r="B150" t="s">
        <v>124</v>
      </c>
    </row>
    <row r="151" spans="1:2" x14ac:dyDescent="0.25">
      <c r="A151">
        <v>149</v>
      </c>
      <c r="B151" t="s">
        <v>124</v>
      </c>
    </row>
    <row r="152" spans="1:2" x14ac:dyDescent="0.25">
      <c r="A152">
        <v>150</v>
      </c>
      <c r="B152" t="s">
        <v>126</v>
      </c>
    </row>
    <row r="153" spans="1:2" x14ac:dyDescent="0.25">
      <c r="A153">
        <v>151</v>
      </c>
      <c r="B153" t="s">
        <v>126</v>
      </c>
    </row>
    <row r="154" spans="1:2" x14ac:dyDescent="0.25">
      <c r="A154">
        <v>152</v>
      </c>
      <c r="B154" t="s">
        <v>126</v>
      </c>
    </row>
    <row r="155" spans="1:2" x14ac:dyDescent="0.25">
      <c r="A155">
        <v>153</v>
      </c>
      <c r="B155" t="s">
        <v>126</v>
      </c>
    </row>
    <row r="156" spans="1:2" x14ac:dyDescent="0.25">
      <c r="A156">
        <v>154</v>
      </c>
      <c r="B156" t="s">
        <v>126</v>
      </c>
    </row>
    <row r="157" spans="1:2" x14ac:dyDescent="0.25">
      <c r="A157">
        <v>155</v>
      </c>
      <c r="B157" t="s">
        <v>126</v>
      </c>
    </row>
    <row r="158" spans="1:2" x14ac:dyDescent="0.25">
      <c r="A158">
        <v>156</v>
      </c>
      <c r="B158" t="s">
        <v>126</v>
      </c>
    </row>
    <row r="159" spans="1:2" x14ac:dyDescent="0.25">
      <c r="A159">
        <v>157</v>
      </c>
      <c r="B159" t="s">
        <v>126</v>
      </c>
    </row>
    <row r="160" spans="1:2" x14ac:dyDescent="0.25">
      <c r="A160">
        <v>158</v>
      </c>
      <c r="B160" t="s">
        <v>126</v>
      </c>
    </row>
    <row r="161" spans="1:2" x14ac:dyDescent="0.25">
      <c r="A161">
        <v>159</v>
      </c>
      <c r="B161" t="s">
        <v>126</v>
      </c>
    </row>
    <row r="162" spans="1:2" x14ac:dyDescent="0.25">
      <c r="A162">
        <v>160</v>
      </c>
      <c r="B162" t="s">
        <v>126</v>
      </c>
    </row>
    <row r="163" spans="1:2" x14ac:dyDescent="0.25">
      <c r="A163">
        <v>161</v>
      </c>
      <c r="B163" t="s">
        <v>126</v>
      </c>
    </row>
    <row r="164" spans="1:2" x14ac:dyDescent="0.25">
      <c r="A164">
        <v>162</v>
      </c>
      <c r="B164" t="s">
        <v>126</v>
      </c>
    </row>
    <row r="165" spans="1:2" x14ac:dyDescent="0.25">
      <c r="A165">
        <v>163</v>
      </c>
      <c r="B165" t="s">
        <v>126</v>
      </c>
    </row>
    <row r="166" spans="1:2" x14ac:dyDescent="0.25">
      <c r="A166">
        <v>164</v>
      </c>
      <c r="B166" t="s">
        <v>126</v>
      </c>
    </row>
    <row r="167" spans="1:2" x14ac:dyDescent="0.25">
      <c r="A167">
        <v>165</v>
      </c>
      <c r="B167" t="s">
        <v>126</v>
      </c>
    </row>
    <row r="168" spans="1:2" x14ac:dyDescent="0.25">
      <c r="A168">
        <v>166</v>
      </c>
      <c r="B168" t="s">
        <v>126</v>
      </c>
    </row>
    <row r="169" spans="1:2" x14ac:dyDescent="0.25">
      <c r="A169">
        <v>167</v>
      </c>
      <c r="B169" t="s">
        <v>126</v>
      </c>
    </row>
    <row r="170" spans="1:2" x14ac:dyDescent="0.25">
      <c r="A170">
        <v>168</v>
      </c>
      <c r="B170" t="s">
        <v>126</v>
      </c>
    </row>
    <row r="171" spans="1:2" x14ac:dyDescent="0.25">
      <c r="A171">
        <v>169</v>
      </c>
      <c r="B171" t="s">
        <v>126</v>
      </c>
    </row>
    <row r="172" spans="1:2" x14ac:dyDescent="0.25">
      <c r="A172">
        <v>170</v>
      </c>
      <c r="B172" t="s">
        <v>126</v>
      </c>
    </row>
    <row r="173" spans="1:2" x14ac:dyDescent="0.25">
      <c r="A173">
        <v>171</v>
      </c>
      <c r="B173" t="s">
        <v>126</v>
      </c>
    </row>
    <row r="174" spans="1:2" x14ac:dyDescent="0.25">
      <c r="A174">
        <v>172</v>
      </c>
      <c r="B174" t="s">
        <v>126</v>
      </c>
    </row>
    <row r="175" spans="1:2" x14ac:dyDescent="0.25">
      <c r="A175">
        <v>173</v>
      </c>
      <c r="B175" t="s">
        <v>126</v>
      </c>
    </row>
    <row r="176" spans="1:2" x14ac:dyDescent="0.25">
      <c r="A176">
        <v>174</v>
      </c>
      <c r="B176" t="s">
        <v>126</v>
      </c>
    </row>
    <row r="177" spans="1:2" x14ac:dyDescent="0.25">
      <c r="A177">
        <v>175</v>
      </c>
      <c r="B177" t="s">
        <v>126</v>
      </c>
    </row>
    <row r="178" spans="1:2" x14ac:dyDescent="0.25">
      <c r="A178">
        <v>176</v>
      </c>
      <c r="B178" t="s">
        <v>126</v>
      </c>
    </row>
    <row r="179" spans="1:2" x14ac:dyDescent="0.25">
      <c r="A179">
        <v>177</v>
      </c>
      <c r="B179" t="s">
        <v>126</v>
      </c>
    </row>
    <row r="180" spans="1:2" x14ac:dyDescent="0.25">
      <c r="A180">
        <v>178</v>
      </c>
      <c r="B180" t="s">
        <v>126</v>
      </c>
    </row>
    <row r="181" spans="1:2" x14ac:dyDescent="0.25">
      <c r="A181">
        <v>179</v>
      </c>
      <c r="B181" t="s">
        <v>126</v>
      </c>
    </row>
    <row r="182" spans="1:2" x14ac:dyDescent="0.25">
      <c r="A182">
        <v>180</v>
      </c>
      <c r="B182" t="s">
        <v>126</v>
      </c>
    </row>
    <row r="183" spans="1:2" x14ac:dyDescent="0.25">
      <c r="A183">
        <v>181</v>
      </c>
      <c r="B183" t="s">
        <v>126</v>
      </c>
    </row>
    <row r="184" spans="1:2" x14ac:dyDescent="0.25">
      <c r="A184">
        <v>182</v>
      </c>
      <c r="B184" t="s">
        <v>126</v>
      </c>
    </row>
    <row r="185" spans="1:2" x14ac:dyDescent="0.25">
      <c r="A185">
        <v>183</v>
      </c>
      <c r="B185" t="s">
        <v>126</v>
      </c>
    </row>
    <row r="186" spans="1:2" x14ac:dyDescent="0.25">
      <c r="A186">
        <v>184</v>
      </c>
      <c r="B186" t="s">
        <v>126</v>
      </c>
    </row>
    <row r="187" spans="1:2" x14ac:dyDescent="0.25">
      <c r="A187">
        <v>185</v>
      </c>
      <c r="B187" t="s">
        <v>126</v>
      </c>
    </row>
    <row r="188" spans="1:2" x14ac:dyDescent="0.25">
      <c r="A188">
        <v>186</v>
      </c>
      <c r="B188" t="s">
        <v>126</v>
      </c>
    </row>
    <row r="189" spans="1:2" x14ac:dyDescent="0.25">
      <c r="A189">
        <v>187</v>
      </c>
      <c r="B189" t="s">
        <v>126</v>
      </c>
    </row>
    <row r="190" spans="1:2" x14ac:dyDescent="0.25">
      <c r="A190">
        <v>188</v>
      </c>
      <c r="B190" t="s">
        <v>126</v>
      </c>
    </row>
    <row r="191" spans="1:2" x14ac:dyDescent="0.25">
      <c r="A191">
        <v>189</v>
      </c>
      <c r="B191" t="s">
        <v>126</v>
      </c>
    </row>
    <row r="192" spans="1:2" x14ac:dyDescent="0.25">
      <c r="A192">
        <v>190</v>
      </c>
      <c r="B192" t="s">
        <v>126</v>
      </c>
    </row>
    <row r="193" spans="1:2" x14ac:dyDescent="0.25">
      <c r="A193">
        <v>191</v>
      </c>
      <c r="B193" t="s">
        <v>126</v>
      </c>
    </row>
    <row r="194" spans="1:2" x14ac:dyDescent="0.25">
      <c r="A194">
        <v>192</v>
      </c>
      <c r="B194" t="s">
        <v>126</v>
      </c>
    </row>
    <row r="195" spans="1:2" x14ac:dyDescent="0.25">
      <c r="A195">
        <v>193</v>
      </c>
      <c r="B195" t="s">
        <v>126</v>
      </c>
    </row>
    <row r="196" spans="1:2" x14ac:dyDescent="0.25">
      <c r="A196">
        <v>194</v>
      </c>
      <c r="B196" t="s">
        <v>126</v>
      </c>
    </row>
    <row r="197" spans="1:2" x14ac:dyDescent="0.25">
      <c r="A197">
        <v>195</v>
      </c>
      <c r="B197" t="s">
        <v>126</v>
      </c>
    </row>
    <row r="198" spans="1:2" x14ac:dyDescent="0.25">
      <c r="A198">
        <v>196</v>
      </c>
      <c r="B198" t="s">
        <v>126</v>
      </c>
    </row>
    <row r="199" spans="1:2" x14ac:dyDescent="0.25">
      <c r="A199">
        <v>197</v>
      </c>
      <c r="B199" t="s">
        <v>126</v>
      </c>
    </row>
    <row r="200" spans="1:2" x14ac:dyDescent="0.25">
      <c r="A200">
        <v>198</v>
      </c>
      <c r="B200" t="s">
        <v>126</v>
      </c>
    </row>
    <row r="201" spans="1:2" x14ac:dyDescent="0.25">
      <c r="A201">
        <v>199</v>
      </c>
      <c r="B201" t="s">
        <v>126</v>
      </c>
    </row>
  </sheetData>
  <sheetProtection algorithmName="SHA-512" hashValue="6Z4zCmyDe2QR4Pm+K1Mb5B5H7l7ZGYl7IDbcq9Rfcozd2TSzmxXiS0wSin3b/59wmYz6YFxyyxu95iTJfcI7BA==" saltValue="stpZ3Uu0UIkndoXH4jjb8A==" spinCount="100000" sheet="1" objects="1" scenarios="1"/>
  <pageMargins left="0.7" right="0.7" top="0.75" bottom="0.75" header="0.3" footer="0.3"/>
  <pageSetup paperSize="9" orientation="portrait" r:id="rId1"/>
  <headerFooter>
    <oddHeader>&amp;L&amp;"Calibri"&amp;10&amp;K000000Official&amp;1#</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3"/>
  <dimension ref="A1:A2"/>
  <sheetViews>
    <sheetView workbookViewId="0"/>
  </sheetViews>
  <sheetFormatPr defaultRowHeight="12.5" x14ac:dyDescent="0.25"/>
  <sheetData>
    <row r="1" spans="1:1" x14ac:dyDescent="0.25">
      <c r="A1" t="s">
        <v>116</v>
      </c>
    </row>
    <row r="2" spans="1:1" x14ac:dyDescent="0.25">
      <c r="A2" t="s">
        <v>148</v>
      </c>
    </row>
  </sheetData>
  <pageMargins left="0.7" right="0.7" top="0.75" bottom="0.75" header="0.3" footer="0.3"/>
  <pageSetup paperSize="9" orientation="portrait" r:id="rId1"/>
  <headerFooter>
    <oddHeader>&amp;L&amp;"Calibri"&amp;10&amp;K000000Official&amp;1#</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4"/>
  <dimension ref="A1:A2"/>
  <sheetViews>
    <sheetView workbookViewId="0"/>
  </sheetViews>
  <sheetFormatPr defaultRowHeight="12.5" x14ac:dyDescent="0.25"/>
  <sheetData>
    <row r="1" spans="1:1" x14ac:dyDescent="0.25">
      <c r="A1" t="s">
        <v>94</v>
      </c>
    </row>
    <row r="2" spans="1:1" x14ac:dyDescent="0.25">
      <c r="A2" t="s">
        <v>149</v>
      </c>
    </row>
  </sheetData>
  <pageMargins left="0.7" right="0.7" top="0.75" bottom="0.75" header="0.3" footer="0.3"/>
  <pageSetup paperSize="9" orientation="portrait" r:id="rId1"/>
  <headerFooter>
    <oddHeader>&amp;L&amp;"Calibri"&amp;10&amp;K000000Official&amp;1#</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0"/>
  <dimension ref="A1:AC51"/>
  <sheetViews>
    <sheetView workbookViewId="0"/>
  </sheetViews>
  <sheetFormatPr defaultColWidth="9.1796875" defaultRowHeight="20" x14ac:dyDescent="0.4"/>
  <cols>
    <col min="1" max="1" width="9.1796875" style="28"/>
    <col min="2" max="3" width="21.26953125" style="27" customWidth="1"/>
    <col min="4" max="9" width="8.7265625" style="27" customWidth="1"/>
    <col min="10" max="10" width="14.7265625" style="27" customWidth="1"/>
    <col min="11" max="29" width="9.1796875" style="28"/>
    <col min="30" max="16384" width="9.1796875" style="27"/>
  </cols>
  <sheetData>
    <row r="1" spans="1:10" x14ac:dyDescent="0.4">
      <c r="B1" s="405" t="s">
        <v>150</v>
      </c>
      <c r="C1" s="405"/>
      <c r="D1" s="405"/>
      <c r="E1" s="405"/>
      <c r="F1" s="405"/>
      <c r="G1" s="405"/>
      <c r="H1" s="405"/>
      <c r="I1" s="405"/>
      <c r="J1" s="405"/>
    </row>
    <row r="2" spans="1:10" ht="10" customHeight="1" x14ac:dyDescent="0.4">
      <c r="B2" s="28"/>
      <c r="C2" s="28"/>
      <c r="D2" s="28"/>
      <c r="E2" s="28"/>
      <c r="F2" s="28"/>
      <c r="G2" s="28"/>
      <c r="H2" s="28"/>
      <c r="I2" s="28"/>
      <c r="J2" s="28"/>
    </row>
    <row r="3" spans="1:10" x14ac:dyDescent="0.4">
      <c r="A3" s="29"/>
      <c r="B3" s="38" t="s">
        <v>151</v>
      </c>
      <c r="C3" s="413"/>
      <c r="D3" s="413"/>
      <c r="E3" s="413"/>
      <c r="F3" s="413"/>
      <c r="G3" s="413"/>
      <c r="H3" s="413"/>
      <c r="I3" s="413"/>
      <c r="J3" s="414"/>
    </row>
    <row r="4" spans="1:10" ht="7" customHeight="1" x14ac:dyDescent="0.4">
      <c r="A4" s="29"/>
      <c r="B4" s="39"/>
      <c r="C4" s="39"/>
      <c r="D4" s="39"/>
      <c r="E4" s="39"/>
      <c r="F4" s="39"/>
      <c r="G4" s="39"/>
      <c r="H4" s="39"/>
      <c r="I4" s="39"/>
      <c r="J4" s="39"/>
    </row>
    <row r="5" spans="1:10" x14ac:dyDescent="0.4">
      <c r="A5" s="29"/>
      <c r="B5" s="38" t="s">
        <v>152</v>
      </c>
      <c r="C5" s="413"/>
      <c r="D5" s="413"/>
      <c r="E5" s="413"/>
      <c r="F5" s="413"/>
      <c r="G5" s="413"/>
      <c r="H5" s="413"/>
      <c r="I5" s="413"/>
      <c r="J5" s="414"/>
    </row>
    <row r="6" spans="1:10" ht="7.5" customHeight="1" x14ac:dyDescent="0.4">
      <c r="A6" s="29"/>
      <c r="B6" s="29"/>
      <c r="C6" s="29"/>
      <c r="D6" s="29"/>
      <c r="E6" s="29"/>
      <c r="F6" s="29"/>
      <c r="G6" s="29"/>
      <c r="H6" s="29"/>
      <c r="I6" s="29"/>
      <c r="J6" s="29"/>
    </row>
    <row r="7" spans="1:10" x14ac:dyDescent="0.4">
      <c r="A7" s="29"/>
      <c r="B7" s="406" t="s">
        <v>40</v>
      </c>
      <c r="C7" s="406" t="s">
        <v>41</v>
      </c>
      <c r="D7" s="410" t="s">
        <v>153</v>
      </c>
      <c r="E7" s="411"/>
      <c r="F7" s="411"/>
      <c r="G7" s="411"/>
      <c r="H7" s="411"/>
      <c r="I7" s="412"/>
      <c r="J7" s="408" t="s">
        <v>49</v>
      </c>
    </row>
    <row r="8" spans="1:10" x14ac:dyDescent="0.4">
      <c r="A8" s="29"/>
      <c r="B8" s="407"/>
      <c r="C8" s="407"/>
      <c r="D8" s="35">
        <v>0</v>
      </c>
      <c r="E8" s="35">
        <v>1</v>
      </c>
      <c r="F8" s="35">
        <v>2</v>
      </c>
      <c r="G8" s="35">
        <v>3</v>
      </c>
      <c r="H8" s="35">
        <v>4</v>
      </c>
      <c r="I8" s="37" t="s">
        <v>154</v>
      </c>
      <c r="J8" s="409"/>
    </row>
    <row r="9" spans="1:10" x14ac:dyDescent="0.4">
      <c r="A9" s="29"/>
      <c r="B9" s="404" t="s">
        <v>50</v>
      </c>
      <c r="C9" s="36" t="s">
        <v>51</v>
      </c>
      <c r="D9" s="50">
        <f>'Development Details'!G16</f>
        <v>0</v>
      </c>
      <c r="E9" s="50">
        <f>'Development Details'!H16</f>
        <v>0</v>
      </c>
      <c r="F9" s="50">
        <f>'Development Details'!I16</f>
        <v>0</v>
      </c>
      <c r="G9" s="50">
        <f>'Development Details'!J16</f>
        <v>0</v>
      </c>
      <c r="H9" s="50">
        <f>'Development Details'!K16</f>
        <v>0</v>
      </c>
      <c r="I9" s="50">
        <f>'Development Details'!L16</f>
        <v>0</v>
      </c>
      <c r="J9" s="35">
        <f t="shared" ref="J9:J16" si="0">SUM(D9:I9)</f>
        <v>0</v>
      </c>
    </row>
    <row r="10" spans="1:10" x14ac:dyDescent="0.4">
      <c r="A10" s="29"/>
      <c r="B10" s="404"/>
      <c r="C10" s="36" t="s">
        <v>52</v>
      </c>
      <c r="D10" s="50">
        <f>'Development Details'!G17</f>
        <v>0</v>
      </c>
      <c r="E10" s="50">
        <f>'Development Details'!H17</f>
        <v>0</v>
      </c>
      <c r="F10" s="50">
        <f>'Development Details'!I17</f>
        <v>0</v>
      </c>
      <c r="G10" s="50">
        <f>'Development Details'!J17</f>
        <v>0</v>
      </c>
      <c r="H10" s="50">
        <f>'Development Details'!K17</f>
        <v>0</v>
      </c>
      <c r="I10" s="50">
        <f>'Development Details'!L17</f>
        <v>0</v>
      </c>
      <c r="J10" s="35">
        <f t="shared" si="0"/>
        <v>0</v>
      </c>
    </row>
    <row r="11" spans="1:10" x14ac:dyDescent="0.4">
      <c r="A11" s="29"/>
      <c r="B11" s="404"/>
      <c r="C11" s="36" t="s">
        <v>155</v>
      </c>
      <c r="D11" s="50">
        <f>'Development Details'!G18</f>
        <v>0</v>
      </c>
      <c r="E11" s="50">
        <f>'Development Details'!H18</f>
        <v>0</v>
      </c>
      <c r="F11" s="50">
        <f>'Development Details'!I18</f>
        <v>0</v>
      </c>
      <c r="G11" s="50">
        <f>'Development Details'!J18</f>
        <v>0</v>
      </c>
      <c r="H11" s="50">
        <f>'Development Details'!K18</f>
        <v>0</v>
      </c>
      <c r="I11" s="50">
        <f>'Development Details'!L18</f>
        <v>0</v>
      </c>
      <c r="J11" s="35">
        <f t="shared" si="0"/>
        <v>0</v>
      </c>
    </row>
    <row r="12" spans="1:10" x14ac:dyDescent="0.4">
      <c r="A12" s="29"/>
      <c r="B12" s="404"/>
      <c r="C12" s="35" t="s">
        <v>49</v>
      </c>
      <c r="D12" s="35">
        <f t="shared" ref="D12:I12" si="1">SUM(D9:D11)</f>
        <v>0</v>
      </c>
      <c r="E12" s="35">
        <f t="shared" si="1"/>
        <v>0</v>
      </c>
      <c r="F12" s="35">
        <f t="shared" si="1"/>
        <v>0</v>
      </c>
      <c r="G12" s="35">
        <f t="shared" si="1"/>
        <v>0</v>
      </c>
      <c r="H12" s="35">
        <f t="shared" si="1"/>
        <v>0</v>
      </c>
      <c r="I12" s="35">
        <f t="shared" si="1"/>
        <v>0</v>
      </c>
      <c r="J12" s="35">
        <f t="shared" si="0"/>
        <v>0</v>
      </c>
    </row>
    <row r="13" spans="1:10" x14ac:dyDescent="0.4">
      <c r="A13" s="29"/>
      <c r="B13" s="404" t="s">
        <v>54</v>
      </c>
      <c r="C13" s="36" t="s">
        <v>51</v>
      </c>
      <c r="D13" s="50">
        <f>'Development Details'!G20</f>
        <v>0</v>
      </c>
      <c r="E13" s="50">
        <f>'Development Details'!H20</f>
        <v>0</v>
      </c>
      <c r="F13" s="50">
        <f>'Development Details'!I20</f>
        <v>0</v>
      </c>
      <c r="G13" s="50">
        <f>'Development Details'!J20</f>
        <v>0</v>
      </c>
      <c r="H13" s="50">
        <f>'Development Details'!K20</f>
        <v>0</v>
      </c>
      <c r="I13" s="50">
        <f>'Development Details'!L20</f>
        <v>0</v>
      </c>
      <c r="J13" s="35">
        <f t="shared" si="0"/>
        <v>0</v>
      </c>
    </row>
    <row r="14" spans="1:10" x14ac:dyDescent="0.4">
      <c r="A14" s="29"/>
      <c r="B14" s="404"/>
      <c r="C14" s="36" t="s">
        <v>52</v>
      </c>
      <c r="D14" s="50">
        <f>'Development Details'!G21</f>
        <v>0</v>
      </c>
      <c r="E14" s="50">
        <f>'Development Details'!H21</f>
        <v>0</v>
      </c>
      <c r="F14" s="50">
        <f>'Development Details'!I21</f>
        <v>0</v>
      </c>
      <c r="G14" s="50">
        <f>'Development Details'!J21</f>
        <v>0</v>
      </c>
      <c r="H14" s="50">
        <f>'Development Details'!K21</f>
        <v>0</v>
      </c>
      <c r="I14" s="50">
        <f>'Development Details'!L21</f>
        <v>0</v>
      </c>
      <c r="J14" s="35">
        <f t="shared" si="0"/>
        <v>0</v>
      </c>
    </row>
    <row r="15" spans="1:10" x14ac:dyDescent="0.4">
      <c r="A15" s="29"/>
      <c r="B15" s="404"/>
      <c r="C15" s="36" t="s">
        <v>155</v>
      </c>
      <c r="D15" s="50">
        <f>'Development Details'!G22</f>
        <v>0</v>
      </c>
      <c r="E15" s="50">
        <f>'Development Details'!H22</f>
        <v>0</v>
      </c>
      <c r="F15" s="50">
        <f>'Development Details'!I22</f>
        <v>0</v>
      </c>
      <c r="G15" s="50">
        <f>'Development Details'!J22</f>
        <v>0</v>
      </c>
      <c r="H15" s="50">
        <f>'Development Details'!K22</f>
        <v>0</v>
      </c>
      <c r="I15" s="50">
        <f>'Development Details'!L22</f>
        <v>0</v>
      </c>
      <c r="J15" s="35">
        <f t="shared" si="0"/>
        <v>0</v>
      </c>
    </row>
    <row r="16" spans="1:10" x14ac:dyDescent="0.4">
      <c r="A16" s="29"/>
      <c r="B16" s="404"/>
      <c r="C16" s="35" t="s">
        <v>49</v>
      </c>
      <c r="D16" s="35">
        <f t="shared" ref="D16:I16" si="2">SUM(D13:D15)</f>
        <v>0</v>
      </c>
      <c r="E16" s="35">
        <f t="shared" si="2"/>
        <v>0</v>
      </c>
      <c r="F16" s="35">
        <f t="shared" si="2"/>
        <v>0</v>
      </c>
      <c r="G16" s="35">
        <f t="shared" si="2"/>
        <v>0</v>
      </c>
      <c r="H16" s="35">
        <f t="shared" si="2"/>
        <v>0</v>
      </c>
      <c r="I16" s="35">
        <f t="shared" si="2"/>
        <v>0</v>
      </c>
      <c r="J16" s="35">
        <f t="shared" si="0"/>
        <v>0</v>
      </c>
    </row>
    <row r="17" spans="1:10" x14ac:dyDescent="0.4">
      <c r="A17" s="29"/>
      <c r="B17" s="402" t="s">
        <v>49</v>
      </c>
      <c r="C17" s="403"/>
      <c r="D17" s="35">
        <f t="shared" ref="D17:J17" si="3">+D16+D12</f>
        <v>0</v>
      </c>
      <c r="E17" s="35">
        <f t="shared" si="3"/>
        <v>0</v>
      </c>
      <c r="F17" s="35">
        <f t="shared" si="3"/>
        <v>0</v>
      </c>
      <c r="G17" s="35">
        <f t="shared" si="3"/>
        <v>0</v>
      </c>
      <c r="H17" s="35">
        <f t="shared" si="3"/>
        <v>0</v>
      </c>
      <c r="I17" s="35">
        <f t="shared" si="3"/>
        <v>0</v>
      </c>
      <c r="J17" s="35">
        <f t="shared" si="3"/>
        <v>0</v>
      </c>
    </row>
    <row r="18" spans="1:10" ht="14.5" customHeight="1" x14ac:dyDescent="0.4">
      <c r="A18" s="29"/>
      <c r="B18" s="29"/>
      <c r="C18" s="29"/>
      <c r="D18" s="29"/>
      <c r="E18" s="29"/>
      <c r="F18" s="29"/>
      <c r="G18" s="29"/>
      <c r="H18" s="29"/>
      <c r="I18" s="29"/>
      <c r="J18" s="29"/>
    </row>
    <row r="19" spans="1:10" x14ac:dyDescent="0.4">
      <c r="A19" s="29"/>
      <c r="B19" s="33" t="s">
        <v>156</v>
      </c>
      <c r="C19" s="33" t="s">
        <v>157</v>
      </c>
      <c r="D19" s="32"/>
      <c r="E19" s="32"/>
      <c r="F19" s="32"/>
      <c r="G19" s="29"/>
      <c r="H19" s="29"/>
      <c r="I19" s="29"/>
      <c r="J19" s="29"/>
    </row>
    <row r="20" spans="1:10" x14ac:dyDescent="0.4">
      <c r="A20" s="29"/>
      <c r="B20" s="33" t="e">
        <f>(J10+J11+J14+J15)/J17</f>
        <v>#DIV/0!</v>
      </c>
      <c r="C20" s="34" t="e">
        <f>1-C21</f>
        <v>#DIV/0!</v>
      </c>
      <c r="D20" s="401" t="s">
        <v>52</v>
      </c>
      <c r="E20" s="401"/>
      <c r="F20" s="401"/>
      <c r="G20" s="29"/>
      <c r="H20" s="29"/>
      <c r="I20" s="29"/>
      <c r="J20" s="29"/>
    </row>
    <row r="21" spans="1:10" x14ac:dyDescent="0.4">
      <c r="A21" s="29"/>
      <c r="B21" s="32"/>
      <c r="C21" s="33" t="e">
        <f>(J11+J15)/(J10+J11+J14+J15)</f>
        <v>#DIV/0!</v>
      </c>
      <c r="D21" s="32" t="s">
        <v>155</v>
      </c>
      <c r="E21" s="32"/>
      <c r="F21" s="32"/>
      <c r="G21" s="29"/>
      <c r="H21" s="29"/>
      <c r="I21" s="29"/>
      <c r="J21" s="29"/>
    </row>
    <row r="22" spans="1:10" ht="4.5" customHeight="1" x14ac:dyDescent="0.4">
      <c r="A22" s="29"/>
      <c r="B22" s="29"/>
      <c r="C22" s="29"/>
      <c r="D22" s="29"/>
      <c r="E22" s="29"/>
      <c r="F22" s="29"/>
      <c r="G22" s="29"/>
      <c r="H22" s="29"/>
      <c r="I22" s="29"/>
      <c r="J22" s="29"/>
    </row>
    <row r="23" spans="1:10" ht="16.5" customHeight="1" x14ac:dyDescent="0.4">
      <c r="A23" s="29"/>
      <c r="B23" s="31" t="s">
        <v>2</v>
      </c>
      <c r="C23" s="29"/>
      <c r="D23" s="29"/>
      <c r="E23" s="29"/>
      <c r="F23" s="29"/>
      <c r="G23" s="29"/>
      <c r="H23" s="29"/>
      <c r="I23" s="29"/>
      <c r="J23" s="29"/>
    </row>
    <row r="24" spans="1:10" x14ac:dyDescent="0.4">
      <c r="A24" s="29"/>
      <c r="B24" s="30" t="s">
        <v>158</v>
      </c>
      <c r="C24" s="29"/>
      <c r="D24" s="29"/>
      <c r="E24" s="29"/>
      <c r="F24" s="29"/>
      <c r="G24" s="29"/>
      <c r="H24" s="29"/>
      <c r="I24" s="29"/>
      <c r="J24" s="29"/>
    </row>
    <row r="25" spans="1:10" x14ac:dyDescent="0.4">
      <c r="A25" s="29"/>
      <c r="B25" s="30" t="s">
        <v>159</v>
      </c>
      <c r="C25" s="29"/>
      <c r="D25" s="29"/>
      <c r="E25" s="29"/>
      <c r="F25" s="29"/>
      <c r="G25" s="29"/>
      <c r="H25" s="29"/>
      <c r="I25" s="29"/>
      <c r="J25" s="29"/>
    </row>
    <row r="26" spans="1:10" x14ac:dyDescent="0.4">
      <c r="A26" s="29"/>
      <c r="B26" s="30" t="s">
        <v>160</v>
      </c>
      <c r="C26" s="29"/>
      <c r="D26" s="29"/>
      <c r="E26" s="29"/>
      <c r="F26" s="29"/>
      <c r="G26" s="29"/>
      <c r="H26" s="29"/>
      <c r="I26" s="29"/>
      <c r="J26" s="29"/>
    </row>
    <row r="27" spans="1:10" x14ac:dyDescent="0.4">
      <c r="B27" s="28"/>
      <c r="C27" s="28"/>
      <c r="D27" s="28"/>
      <c r="E27" s="28"/>
      <c r="F27" s="28"/>
      <c r="G27" s="28"/>
      <c r="H27" s="28"/>
      <c r="I27" s="28"/>
      <c r="J27" s="28"/>
    </row>
    <row r="28" spans="1:10" x14ac:dyDescent="0.4">
      <c r="B28" s="28"/>
      <c r="C28" s="28"/>
      <c r="D28" s="28"/>
      <c r="E28" s="28"/>
      <c r="F28" s="28"/>
      <c r="G28" s="28"/>
      <c r="H28" s="28"/>
      <c r="I28" s="28"/>
      <c r="J28" s="28"/>
    </row>
    <row r="29" spans="1:10" x14ac:dyDescent="0.4">
      <c r="B29" s="28"/>
      <c r="C29" s="28"/>
      <c r="D29" s="28"/>
      <c r="E29" s="28"/>
      <c r="F29" s="28"/>
      <c r="G29" s="28"/>
      <c r="H29" s="28"/>
      <c r="I29" s="28"/>
      <c r="J29" s="28"/>
    </row>
    <row r="30" spans="1:10" x14ac:dyDescent="0.4">
      <c r="B30" s="28"/>
      <c r="C30" s="28"/>
      <c r="D30" s="28"/>
      <c r="E30" s="28"/>
      <c r="F30" s="28"/>
      <c r="G30" s="28"/>
      <c r="H30" s="28"/>
      <c r="I30" s="28"/>
      <c r="J30" s="28"/>
    </row>
    <row r="31" spans="1:10" x14ac:dyDescent="0.4">
      <c r="B31" s="28"/>
      <c r="C31" s="28"/>
      <c r="D31" s="28"/>
      <c r="E31" s="28"/>
      <c r="F31" s="28"/>
      <c r="G31" s="28"/>
      <c r="H31" s="28"/>
      <c r="I31" s="28"/>
      <c r="J31" s="28"/>
    </row>
    <row r="32" spans="1:10" x14ac:dyDescent="0.4">
      <c r="B32" s="28"/>
      <c r="C32" s="28"/>
      <c r="D32" s="28"/>
      <c r="E32" s="28"/>
      <c r="F32" s="28"/>
      <c r="G32" s="28"/>
      <c r="H32" s="28"/>
      <c r="I32" s="28"/>
      <c r="J32" s="28"/>
    </row>
    <row r="33" s="28" customFormat="1" x14ac:dyDescent="0.4"/>
    <row r="34" s="28" customFormat="1" x14ac:dyDescent="0.4"/>
    <row r="35" s="28" customFormat="1" x14ac:dyDescent="0.4"/>
    <row r="36" s="28" customFormat="1" x14ac:dyDescent="0.4"/>
    <row r="37" s="28" customFormat="1" x14ac:dyDescent="0.4"/>
    <row r="38" s="28" customFormat="1" x14ac:dyDescent="0.4"/>
    <row r="39" s="28" customFormat="1" x14ac:dyDescent="0.4"/>
    <row r="40" s="28" customFormat="1" x14ac:dyDescent="0.4"/>
    <row r="41" s="28" customFormat="1" x14ac:dyDescent="0.4"/>
    <row r="42" s="28" customFormat="1" x14ac:dyDescent="0.4"/>
    <row r="43" s="28" customFormat="1" x14ac:dyDescent="0.4"/>
    <row r="44" s="28" customFormat="1" x14ac:dyDescent="0.4"/>
    <row r="45" s="28" customFormat="1" x14ac:dyDescent="0.4"/>
    <row r="46" s="28" customFormat="1" x14ac:dyDescent="0.4"/>
    <row r="47" s="28" customFormat="1" x14ac:dyDescent="0.4"/>
    <row r="48" s="28" customFormat="1" x14ac:dyDescent="0.4"/>
    <row r="49" s="28" customFormat="1" x14ac:dyDescent="0.4"/>
    <row r="50" s="28" customFormat="1" x14ac:dyDescent="0.4"/>
    <row r="51" s="28" customFormat="1" x14ac:dyDescent="0.4"/>
  </sheetData>
  <sheetProtection selectLockedCells="1"/>
  <mergeCells count="11">
    <mergeCell ref="D20:F20"/>
    <mergeCell ref="B17:C17"/>
    <mergeCell ref="B9:B12"/>
    <mergeCell ref="B13:B16"/>
    <mergeCell ref="B1:J1"/>
    <mergeCell ref="B7:B8"/>
    <mergeCell ref="C7:C8"/>
    <mergeCell ref="J7:J8"/>
    <mergeCell ref="D7:I7"/>
    <mergeCell ref="C3:J3"/>
    <mergeCell ref="C5:J5"/>
  </mergeCells>
  <pageMargins left="0.75" right="0.75" top="1" bottom="1" header="0.5" footer="0.5"/>
  <pageSetup paperSize="9" orientation="landscape" r:id="rId1"/>
  <headerFooter alignWithMargins="0">
    <oddHeader>&amp;L&amp;"Calibri"&amp;10&amp;K000000Official&amp;1#</oddHead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1">
    <pageSetUpPr fitToPage="1"/>
  </sheetPr>
  <dimension ref="A1:AG54"/>
  <sheetViews>
    <sheetView workbookViewId="0"/>
  </sheetViews>
  <sheetFormatPr defaultColWidth="9.1796875" defaultRowHeight="20" x14ac:dyDescent="0.4"/>
  <cols>
    <col min="1" max="1" width="9.1796875" style="28"/>
    <col min="2" max="2" width="13.453125" style="27" customWidth="1"/>
    <col min="3" max="3" width="13.7265625" style="27" customWidth="1"/>
    <col min="4" max="4" width="19.54296875" style="27" customWidth="1"/>
    <col min="5" max="5" width="21.453125" style="27" customWidth="1"/>
    <col min="6" max="6" width="10.7265625" style="27" customWidth="1"/>
    <col min="7" max="7" width="9.1796875" style="28"/>
    <col min="8" max="8" width="10.453125" style="28" customWidth="1"/>
    <col min="9" max="9" width="13.7265625" style="28" customWidth="1"/>
    <col min="10" max="10" width="19.54296875" style="28" customWidth="1"/>
    <col min="11" max="11" width="21.453125" style="28" customWidth="1"/>
    <col min="12" max="12" width="10.7265625" style="28" customWidth="1"/>
    <col min="13" max="33" width="9.1796875" style="28"/>
    <col min="34" max="16384" width="9.1796875" style="27"/>
  </cols>
  <sheetData>
    <row r="1" spans="2:12" ht="23" x14ac:dyDescent="0.5">
      <c r="B1" s="416">
        <f>+'Population Development Matrix'!C3</f>
        <v>0</v>
      </c>
      <c r="C1" s="416"/>
      <c r="D1" s="416"/>
      <c r="E1" s="416"/>
      <c r="F1" s="416"/>
      <c r="G1" s="416"/>
      <c r="H1" s="416"/>
      <c r="I1" s="416"/>
      <c r="J1" s="416"/>
      <c r="K1" s="417">
        <f>+'Population Development Matrix'!C5</f>
        <v>0</v>
      </c>
      <c r="L1" s="417"/>
    </row>
    <row r="2" spans="2:12" ht="7" customHeight="1" x14ac:dyDescent="0.5">
      <c r="B2" s="48"/>
      <c r="C2" s="48"/>
      <c r="D2" s="48"/>
      <c r="E2" s="48"/>
      <c r="F2" s="48"/>
      <c r="G2" s="48"/>
      <c r="H2" s="48"/>
      <c r="I2" s="48"/>
      <c r="J2" s="48"/>
      <c r="K2" s="48"/>
      <c r="L2" s="48"/>
    </row>
    <row r="3" spans="2:12" ht="12" customHeight="1" x14ac:dyDescent="0.4">
      <c r="B3" s="28"/>
      <c r="C3" s="28"/>
      <c r="D3" s="28"/>
      <c r="E3" s="28"/>
      <c r="F3" s="28"/>
    </row>
    <row r="4" spans="2:12" x14ac:dyDescent="0.4">
      <c r="B4" s="405" t="s">
        <v>161</v>
      </c>
      <c r="C4" s="405"/>
      <c r="D4" s="405"/>
      <c r="E4" s="405"/>
      <c r="F4" s="405"/>
      <c r="H4" s="405" t="s">
        <v>162</v>
      </c>
      <c r="I4" s="405"/>
      <c r="J4" s="405"/>
      <c r="K4" s="405"/>
      <c r="L4" s="405"/>
    </row>
    <row r="5" spans="2:12" x14ac:dyDescent="0.4">
      <c r="B5" s="28"/>
      <c r="C5" s="28"/>
      <c r="D5" s="26"/>
      <c r="E5" s="28"/>
      <c r="F5" s="28"/>
      <c r="J5" s="26"/>
    </row>
    <row r="6" spans="2:12" x14ac:dyDescent="0.4">
      <c r="B6" s="46" t="s">
        <v>89</v>
      </c>
      <c r="C6" s="42" t="s">
        <v>51</v>
      </c>
      <c r="D6" s="42" t="s">
        <v>52</v>
      </c>
      <c r="E6" s="42" t="s">
        <v>155</v>
      </c>
      <c r="F6" s="45" t="s">
        <v>49</v>
      </c>
      <c r="H6" s="46" t="s">
        <v>89</v>
      </c>
      <c r="I6" s="42" t="s">
        <v>51</v>
      </c>
      <c r="J6" s="42" t="s">
        <v>52</v>
      </c>
      <c r="K6" s="42" t="s">
        <v>155</v>
      </c>
      <c r="L6" s="45" t="s">
        <v>49</v>
      </c>
    </row>
    <row r="7" spans="2:12" x14ac:dyDescent="0.4">
      <c r="B7" s="42" t="s">
        <v>163</v>
      </c>
      <c r="C7" s="47">
        <f>('Population Development Matrix'!$D$9*'Population 2004 Yield'!B6)+('Population Development Matrix'!$E$9*'Population 2004 Yield'!C6)+('Population Development Matrix'!$F$9*'Population 2004 Yield'!D6)+('Population Development Matrix'!$G$9*'Population 2004 Yield'!E6)+('Population Development Matrix'!$H$9*'Population 2004 Yield'!F6)+('Population Development Matrix'!$I$9*'Population 2004 Yield'!G6)+('Population Development Matrix'!$D$13*'Population 2004 Yield'!J6)+('Population Development Matrix'!$E$13*'Population 2004 Yield'!K6)+('Population Development Matrix'!$F$13*'Population 2004 Yield'!L6)+('Population Development Matrix'!$G$13*'Population 2004 Yield'!M6)+('Population Development Matrix'!$H$13*'Population 2004 Yield'!N6)+('Population Development Matrix'!$I$13*'Population 2004 Yield'!O6)</f>
        <v>0</v>
      </c>
      <c r="D7" s="47">
        <f>('Population Development Matrix'!$D$10*'Population 2004 Yield'!B21)+('Population Development Matrix'!$E$10*'Population 2004 Yield'!C21)+('Population Development Matrix'!$F$10*'Population 2004 Yield'!D21)+('Population Development Matrix'!$G$10*'Population 2004 Yield'!E21)+('Population Development Matrix'!$H$10*'Population 2004 Yield'!F21)+('Population Development Matrix'!$I$10*'Population 2004 Yield'!G21)+('Population Development Matrix'!$D$14*'Population 2004 Yield'!J21)+('Population Development Matrix'!$E$14*'Population 2004 Yield'!K21)+('Population Development Matrix'!$F$14*'Population 2004 Yield'!L21)+('Population Development Matrix'!$G$14*'Population 2004 Yield'!M21)+('Population Development Matrix'!$H$14*'Population 2004 Yield'!N21)+('Population Development Matrix'!$I$14*'Population 2004 Yield'!O21)</f>
        <v>0</v>
      </c>
      <c r="E7" s="47">
        <f>('Population Development Matrix'!$D$11*'Population 2004 Yield'!B36)+('Population Development Matrix'!$E$11*'Population 2004 Yield'!C36)+('Population Development Matrix'!$F$11*'Population 2004 Yield'!D36)+('Population Development Matrix'!$G$11*'Population 2004 Yield'!E36)+('Population Development Matrix'!$H$11*'Population 2004 Yield'!F36)+('Population Development Matrix'!$I$11*'Population 2004 Yield'!G36)+('Population Development Matrix'!$D$15*'Population 2004 Yield'!J36)+('Population Development Matrix'!$E$15*'Population 2004 Yield'!K36)+('Population Development Matrix'!$F$15*'Population 2004 Yield'!L36)+('Population Development Matrix'!$G$15*'Population 2004 Yield'!M36)+('Population Development Matrix'!$H$15*'Population 2004 Yield'!N36)+('Population Development Matrix'!$I$15*'Population 2004 Yield'!O36)</f>
        <v>0</v>
      </c>
      <c r="F7" s="41">
        <f t="shared" ref="F7:F17" si="0">SUM(C7:E7)</f>
        <v>0</v>
      </c>
      <c r="H7" s="42" t="s">
        <v>163</v>
      </c>
      <c r="I7" s="47">
        <f>('Population Development Matrix'!$D$9*'Population 2007 Yield'!B6)+('Population Development Matrix'!$E$9*'Population 2007 Yield'!C6)+('Population Development Matrix'!$F$9*'Population 2007 Yield'!D6)+('Population Development Matrix'!$G$9*'Population 2007 Yield'!E6)+('Population Development Matrix'!$H$9*'Population 2007 Yield'!F6)+('Population Development Matrix'!$I$9*'Population 2007 Yield'!G6)+('Population Development Matrix'!$D$13*'Population 2007 Yield'!J6)+('Population Development Matrix'!$E$13*'Population 2007 Yield'!K6)+('Population Development Matrix'!$F$13*'Population 2007 Yield'!L6)+('Population Development Matrix'!$G$13*'Population 2007 Yield'!M6)+('Population Development Matrix'!$H$13*'Population 2007 Yield'!N6)+('Population Development Matrix'!$I$13*'Population 2007 Yield'!O6)</f>
        <v>0</v>
      </c>
      <c r="J7" s="47">
        <f>('Population Development Matrix'!$D$10*'Population 2007 Yield'!B21)+('Population Development Matrix'!$E$10*'Population 2007 Yield'!C21)+('Population Development Matrix'!$F$10*'Population 2007 Yield'!D21)+('Population Development Matrix'!$G$10*'Population 2007 Yield'!E21)+('Population Development Matrix'!$H$10*'Population 2007 Yield'!F21)+('Population Development Matrix'!$I$10*'Population 2007 Yield'!G21)+('Population Development Matrix'!$D$14*'Population 2007 Yield'!J21)+('Population Development Matrix'!$E$14*'Population 2007 Yield'!K21)+('Population Development Matrix'!$F$14*'Population 2007 Yield'!L21)+('Population Development Matrix'!$G$14*'Population 2007 Yield'!M21)+('Population Development Matrix'!$H$14*'Population 2007 Yield'!N21)+('Population Development Matrix'!$I$14*'Population 2007 Yield'!O21)</f>
        <v>0</v>
      </c>
      <c r="K7" s="47">
        <f>('Population Development Matrix'!$D$11*'Population 2007 Yield'!B36)+('Population Development Matrix'!$E$11*'Population 2007 Yield'!C36)+('Population Development Matrix'!$F$11*'Population 2007 Yield'!D36)+('Population Development Matrix'!$G$11*'Population 2007 Yield'!E36)+('Population Development Matrix'!$H$11*'Population 2007 Yield'!F36)+('Population Development Matrix'!$I$11*'Population 2007 Yield'!G36)+('Population Development Matrix'!$D$15*'Population 2007 Yield'!J36)+('Population Development Matrix'!$E$15*'Population 2007 Yield'!K36)+('Population Development Matrix'!$F$15*'Population 2007 Yield'!L36)+('Population Development Matrix'!$G$15*'Population 2007 Yield'!M36)+('Population Development Matrix'!$H$15*'Population 2007 Yield'!N36)+('Population Development Matrix'!$I$15*'Population 2007 Yield'!O36)</f>
        <v>0</v>
      </c>
      <c r="L7" s="41">
        <f t="shared" ref="L7:L17" si="1">SUM(I7:K7)</f>
        <v>0</v>
      </c>
    </row>
    <row r="8" spans="2:12" x14ac:dyDescent="0.4">
      <c r="B8" s="44" t="s">
        <v>164</v>
      </c>
      <c r="C8" s="47">
        <f>('Population Development Matrix'!$D$9*'Population 2004 Yield'!B7)+('Population Development Matrix'!$E$9*'Population 2004 Yield'!C7)+('Population Development Matrix'!$F$9*'Population 2004 Yield'!D7)+('Population Development Matrix'!$G$9*'Population 2004 Yield'!E7)+('Population Development Matrix'!$H$9*'Population 2004 Yield'!F7)+('Population Development Matrix'!$I$9*'Population 2004 Yield'!G7)+('Population Development Matrix'!$D$13*'Population 2004 Yield'!J7)+('Population Development Matrix'!$E$13*'Population 2004 Yield'!K7)+('Population Development Matrix'!$F$13*'Population 2004 Yield'!L7)+('Population Development Matrix'!$G$13*'Population 2004 Yield'!M7)+('Population Development Matrix'!$H$13*'Population 2004 Yield'!N7)+('Population Development Matrix'!$I$13*'Population 2004 Yield'!O7)</f>
        <v>0</v>
      </c>
      <c r="D8" s="47">
        <f>('Population Development Matrix'!$D$10*'Population 2004 Yield'!B22)+('Population Development Matrix'!$E$10*'Population 2004 Yield'!C22)+('Population Development Matrix'!$F$10*'Population 2004 Yield'!D22)+('Population Development Matrix'!$G$10*'Population 2004 Yield'!E22)+('Population Development Matrix'!$H$10*'Population 2004 Yield'!F22)+('Population Development Matrix'!$I$10*'Population 2004 Yield'!G22)+('Population Development Matrix'!$D$14*'Population 2004 Yield'!J22)+('Population Development Matrix'!$E$14*'Population 2004 Yield'!K22)+('Population Development Matrix'!$F$14*'Population 2004 Yield'!L22)+('Population Development Matrix'!$G$14*'Population 2004 Yield'!M22)+('Population Development Matrix'!$H$14*'Population 2004 Yield'!N22)+('Population Development Matrix'!$I$14*'Population 2004 Yield'!O22)</f>
        <v>0</v>
      </c>
      <c r="E8" s="47">
        <f>('Population Development Matrix'!$D$11*'Population 2004 Yield'!B37)+('Population Development Matrix'!$E$11*'Population 2004 Yield'!C37)+('Population Development Matrix'!$F$11*'Population 2004 Yield'!D37)+('Population Development Matrix'!$G$11*'Population 2004 Yield'!E37)+('Population Development Matrix'!$H$11*'Population 2004 Yield'!F37)+('Population Development Matrix'!$I$11*'Population 2004 Yield'!G37)+('Population Development Matrix'!$D$15*'Population 2004 Yield'!J37)+('Population Development Matrix'!$E$15*'Population 2004 Yield'!K37)+('Population Development Matrix'!$F$15*'Population 2004 Yield'!L37)+('Population Development Matrix'!$G$15*'Population 2004 Yield'!M37)+('Population Development Matrix'!$H$15*'Population 2004 Yield'!N37)+('Population Development Matrix'!$I$15*'Population 2004 Yield'!O37)</f>
        <v>0</v>
      </c>
      <c r="F8" s="41">
        <f t="shared" si="0"/>
        <v>0</v>
      </c>
      <c r="H8" s="44" t="s">
        <v>164</v>
      </c>
      <c r="I8" s="47">
        <f>('Population Development Matrix'!$D$9*'Population 2007 Yield'!B7)+('Population Development Matrix'!$E$9*'Population 2007 Yield'!C7)+('Population Development Matrix'!$F$9*'Population 2007 Yield'!D7)+('Population Development Matrix'!$G$9*'Population 2007 Yield'!E7)+('Population Development Matrix'!$H$9*'Population 2007 Yield'!F7)+('Population Development Matrix'!$I$9*'Population 2007 Yield'!G7)+('Population Development Matrix'!$D$13*'Population 2007 Yield'!J7)+('Population Development Matrix'!$E$13*'Population 2007 Yield'!K7)+('Population Development Matrix'!$F$13*'Population 2007 Yield'!L7)+('Population Development Matrix'!$G$13*'Population 2007 Yield'!M7)+('Population Development Matrix'!$H$13*'Population 2007 Yield'!N7)+('Population Development Matrix'!$I$13*'Population 2007 Yield'!O7)</f>
        <v>0</v>
      </c>
      <c r="J8" s="47">
        <f>('Population Development Matrix'!$D$10*'Population 2007 Yield'!B22)+('Population Development Matrix'!$E$10*'Population 2007 Yield'!C22)+('Population Development Matrix'!$F$10*'Population 2007 Yield'!D22)+('Population Development Matrix'!$G$10*'Population 2007 Yield'!E22)+('Population Development Matrix'!$H$10*'Population 2007 Yield'!F22)+('Population Development Matrix'!$I$10*'Population 2007 Yield'!G22)+('Population Development Matrix'!$D$14*'Population 2007 Yield'!J22)+('Population Development Matrix'!$E$14*'Population 2007 Yield'!K22)+('Population Development Matrix'!$F$14*'Population 2007 Yield'!L22)+('Population Development Matrix'!$G$14*'Population 2007 Yield'!M22)+('Population Development Matrix'!$H$14*'Population 2007 Yield'!N22)+('Population Development Matrix'!$I$14*'Population 2007 Yield'!O22)</f>
        <v>0</v>
      </c>
      <c r="K8" s="47">
        <f>('Population Development Matrix'!$D$11*'Population 2007 Yield'!B37)+('Population Development Matrix'!$E$11*'Population 2007 Yield'!C37)+('Population Development Matrix'!$F$11*'Population 2007 Yield'!D37)+('Population Development Matrix'!$G$11*'Population 2007 Yield'!E37)+('Population Development Matrix'!$H$11*'Population 2007 Yield'!F37)+('Population Development Matrix'!$I$11*'Population 2007 Yield'!G37)+('Population Development Matrix'!$D$15*'Population 2007 Yield'!J37)+('Population Development Matrix'!$E$15*'Population 2007 Yield'!K37)+('Population Development Matrix'!$F$15*'Population 2007 Yield'!L37)+('Population Development Matrix'!$G$15*'Population 2007 Yield'!M37)+('Population Development Matrix'!$H$15*'Population 2007 Yield'!N37)+('Population Development Matrix'!$I$15*'Population 2007 Yield'!O37)</f>
        <v>0</v>
      </c>
      <c r="L8" s="41">
        <f t="shared" si="1"/>
        <v>0</v>
      </c>
    </row>
    <row r="9" spans="2:12" x14ac:dyDescent="0.4">
      <c r="B9" s="44" t="s">
        <v>165</v>
      </c>
      <c r="C9" s="47">
        <f>('Population Development Matrix'!$D$9*'Population 2004 Yield'!B8)+('Population Development Matrix'!$E$9*'Population 2004 Yield'!C8)+('Population Development Matrix'!$F$9*'Population 2004 Yield'!D8)+('Population Development Matrix'!$G$9*'Population 2004 Yield'!E8)+('Population Development Matrix'!$H$9*'Population 2004 Yield'!F8)+('Population Development Matrix'!$I$9*'Population 2004 Yield'!G8)+('Population Development Matrix'!$D$13*'Population 2004 Yield'!J8)+('Population Development Matrix'!$E$13*'Population 2004 Yield'!K8)+('Population Development Matrix'!$F$13*'Population 2004 Yield'!L8)+('Population Development Matrix'!$G$13*'Population 2004 Yield'!M8)+('Population Development Matrix'!$H$13*'Population 2004 Yield'!N8)+('Population Development Matrix'!$I$13*'Population 2004 Yield'!O8)</f>
        <v>0</v>
      </c>
      <c r="D9" s="47">
        <f>('Population Development Matrix'!$D$10*'Population 2004 Yield'!B23)+('Population Development Matrix'!$E$10*'Population 2004 Yield'!C23)+('Population Development Matrix'!$F$10*'Population 2004 Yield'!D23)+('Population Development Matrix'!$G$10*'Population 2004 Yield'!E23)+('Population Development Matrix'!$H$10*'Population 2004 Yield'!F23)+('Population Development Matrix'!$I$10*'Population 2004 Yield'!G23)+('Population Development Matrix'!$D$14*'Population 2004 Yield'!J23)+('Population Development Matrix'!$E$14*'Population 2004 Yield'!K23)+('Population Development Matrix'!$F$14*'Population 2004 Yield'!L23)+('Population Development Matrix'!$G$14*'Population 2004 Yield'!M23)+('Population Development Matrix'!$H$14*'Population 2004 Yield'!N23)+('Population Development Matrix'!$I$14*'Population 2004 Yield'!O23)</f>
        <v>0</v>
      </c>
      <c r="E9" s="47">
        <f>('Population Development Matrix'!$D$11*'Population 2004 Yield'!B38)+('Population Development Matrix'!$E$11*'Population 2004 Yield'!C38)+('Population Development Matrix'!$F$11*'Population 2004 Yield'!D38)+('Population Development Matrix'!$G$11*'Population 2004 Yield'!E38)+('Population Development Matrix'!$H$11*'Population 2004 Yield'!F38)+('Population Development Matrix'!$I$11*'Population 2004 Yield'!G38)+('Population Development Matrix'!$D$15*'Population 2004 Yield'!J38)+('Population Development Matrix'!$E$15*'Population 2004 Yield'!K38)+('Population Development Matrix'!$F$15*'Population 2004 Yield'!L38)+('Population Development Matrix'!$G$15*'Population 2004 Yield'!M38)+('Population Development Matrix'!$H$15*'Population 2004 Yield'!N38)+('Population Development Matrix'!$I$15*'Population 2004 Yield'!O38)</f>
        <v>0</v>
      </c>
      <c r="F9" s="41">
        <f t="shared" si="0"/>
        <v>0</v>
      </c>
      <c r="H9" s="44" t="s">
        <v>165</v>
      </c>
      <c r="I9" s="47">
        <f>('Population Development Matrix'!$D$9*'Population 2007 Yield'!B8)+('Population Development Matrix'!$E$9*'Population 2007 Yield'!C8)+('Population Development Matrix'!$F$9*'Population 2007 Yield'!D8)+('Population Development Matrix'!$G$9*'Population 2007 Yield'!E8)+('Population Development Matrix'!$H$9*'Population 2007 Yield'!F8)+('Population Development Matrix'!$I$9*'Population 2007 Yield'!G8)+('Population Development Matrix'!$D$13*'Population 2007 Yield'!J8)+('Population Development Matrix'!$E$13*'Population 2007 Yield'!K8)+('Population Development Matrix'!$F$13*'Population 2007 Yield'!L8)+('Population Development Matrix'!$G$13*'Population 2007 Yield'!M8)+('Population Development Matrix'!$H$13*'Population 2007 Yield'!N8)+('Population Development Matrix'!$I$13*'Population 2007 Yield'!O8)</f>
        <v>0</v>
      </c>
      <c r="J9" s="47">
        <f>('Population Development Matrix'!$D$10*'Population 2007 Yield'!B23)+('Population Development Matrix'!$E$10*'Population 2007 Yield'!C23)+('Population Development Matrix'!$F$10*'Population 2007 Yield'!D23)+('Population Development Matrix'!$G$10*'Population 2007 Yield'!E23)+('Population Development Matrix'!$H$10*'Population 2007 Yield'!F23)+('Population Development Matrix'!$I$10*'Population 2007 Yield'!G23)+('Population Development Matrix'!$D$14*'Population 2007 Yield'!J23)+('Population Development Matrix'!$E$14*'Population 2007 Yield'!K23)+('Population Development Matrix'!$F$14*'Population 2007 Yield'!L23)+('Population Development Matrix'!$G$14*'Population 2007 Yield'!M23)+('Population Development Matrix'!$H$14*'Population 2007 Yield'!N23)+('Population Development Matrix'!$I$14*'Population 2007 Yield'!O23)</f>
        <v>0</v>
      </c>
      <c r="K9" s="47">
        <f>('Population Development Matrix'!$D$11*'Population 2007 Yield'!B38)+('Population Development Matrix'!$E$11*'Population 2007 Yield'!C38)+('Population Development Matrix'!$F$11*'Population 2007 Yield'!D38)+('Population Development Matrix'!$G$11*'Population 2007 Yield'!E38)+('Population Development Matrix'!$H$11*'Population 2007 Yield'!F38)+('Population Development Matrix'!$I$11*'Population 2007 Yield'!G38)+('Population Development Matrix'!$D$15*'Population 2007 Yield'!J38)+('Population Development Matrix'!$E$15*'Population 2007 Yield'!K38)+('Population Development Matrix'!$F$15*'Population 2007 Yield'!L38)+('Population Development Matrix'!$G$15*'Population 2007 Yield'!M38)+('Population Development Matrix'!$H$15*'Population 2007 Yield'!N38)+('Population Development Matrix'!$I$15*'Population 2007 Yield'!O38)</f>
        <v>0</v>
      </c>
      <c r="L9" s="41">
        <f t="shared" si="1"/>
        <v>0</v>
      </c>
    </row>
    <row r="10" spans="2:12" x14ac:dyDescent="0.4">
      <c r="B10" s="44" t="s">
        <v>166</v>
      </c>
      <c r="C10" s="47">
        <f>('Population Development Matrix'!$D$9*'Population 2004 Yield'!B9)+('Population Development Matrix'!$E$9*'Population 2004 Yield'!C9)+('Population Development Matrix'!$F$9*'Population 2004 Yield'!D9)+('Population Development Matrix'!$G$9*'Population 2004 Yield'!E9)+('Population Development Matrix'!$H$9*'Population 2004 Yield'!F9)+('Population Development Matrix'!$I$9*'Population 2004 Yield'!G9)+('Population Development Matrix'!$D$13*'Population 2004 Yield'!J9)+('Population Development Matrix'!$E$13*'Population 2004 Yield'!K9)+('Population Development Matrix'!$F$13*'Population 2004 Yield'!L9)+('Population Development Matrix'!$G$13*'Population 2004 Yield'!M9)+('Population Development Matrix'!$H$13*'Population 2004 Yield'!N9)+('Population Development Matrix'!$I$13*'Population 2004 Yield'!O9)</f>
        <v>0</v>
      </c>
      <c r="D10" s="47">
        <f>('Population Development Matrix'!$D$10*'Population 2004 Yield'!B24)+('Population Development Matrix'!$E$10*'Population 2004 Yield'!C24)+('Population Development Matrix'!$F$10*'Population 2004 Yield'!D24)+('Population Development Matrix'!$G$10*'Population 2004 Yield'!E24)+('Population Development Matrix'!$H$10*'Population 2004 Yield'!F24)+('Population Development Matrix'!$I$10*'Population 2004 Yield'!G24)+('Population Development Matrix'!$D$14*'Population 2004 Yield'!J24)+('Population Development Matrix'!$E$14*'Population 2004 Yield'!K24)+('Population Development Matrix'!$F$14*'Population 2004 Yield'!L24)+('Population Development Matrix'!$G$14*'Population 2004 Yield'!M24)+('Population Development Matrix'!$H$14*'Population 2004 Yield'!N24)+('Population Development Matrix'!$I$14*'Population 2004 Yield'!O24)</f>
        <v>0</v>
      </c>
      <c r="E10" s="47">
        <f>('Population Development Matrix'!$D$11*'Population 2004 Yield'!B39)+('Population Development Matrix'!$E$11*'Population 2004 Yield'!C39)+('Population Development Matrix'!$F$11*'Population 2004 Yield'!D39)+('Population Development Matrix'!$G$11*'Population 2004 Yield'!E39)+('Population Development Matrix'!$H$11*'Population 2004 Yield'!F39)+('Population Development Matrix'!$I$11*'Population 2004 Yield'!G39)+('Population Development Matrix'!$D$15*'Population 2004 Yield'!J39)+('Population Development Matrix'!$E$15*'Population 2004 Yield'!K39)+('Population Development Matrix'!$F$15*'Population 2004 Yield'!L39)+('Population Development Matrix'!$G$15*'Population 2004 Yield'!M39)+('Population Development Matrix'!$H$15*'Population 2004 Yield'!N39)+('Population Development Matrix'!$I$15*'Population 2004 Yield'!O39)</f>
        <v>0</v>
      </c>
      <c r="F10" s="41">
        <f t="shared" si="0"/>
        <v>0</v>
      </c>
      <c r="H10" s="44" t="s">
        <v>166</v>
      </c>
      <c r="I10" s="47">
        <f>('Population Development Matrix'!$D$9*'Population 2007 Yield'!B9)+('Population Development Matrix'!$E$9*'Population 2007 Yield'!C9)+('Population Development Matrix'!$F$9*'Population 2007 Yield'!D9)+('Population Development Matrix'!$G$9*'Population 2007 Yield'!E9)+('Population Development Matrix'!$H$9*'Population 2007 Yield'!F9)+('Population Development Matrix'!$I$9*'Population 2007 Yield'!G9)+('Population Development Matrix'!$D$13*'Population 2007 Yield'!J9)+('Population Development Matrix'!$E$13*'Population 2007 Yield'!K9)+('Population Development Matrix'!$F$13*'Population 2007 Yield'!L9)+('Population Development Matrix'!$G$13*'Population 2007 Yield'!M9)+('Population Development Matrix'!$H$13*'Population 2007 Yield'!N9)+('Population Development Matrix'!$I$13*'Population 2007 Yield'!O9)</f>
        <v>0</v>
      </c>
      <c r="J10" s="47">
        <f>('Population Development Matrix'!$D$10*'Population 2007 Yield'!B24)+('Population Development Matrix'!$E$10*'Population 2007 Yield'!C24)+('Population Development Matrix'!$F$10*'Population 2007 Yield'!D24)+('Population Development Matrix'!$G$10*'Population 2007 Yield'!E24)+('Population Development Matrix'!$H$10*'Population 2007 Yield'!F24)+('Population Development Matrix'!$I$10*'Population 2007 Yield'!G24)+('Population Development Matrix'!$D$14*'Population 2007 Yield'!J24)+('Population Development Matrix'!$E$14*'Population 2007 Yield'!K24)+('Population Development Matrix'!$F$14*'Population 2007 Yield'!L24)+('Population Development Matrix'!$G$14*'Population 2007 Yield'!M24)+('Population Development Matrix'!$H$14*'Population 2007 Yield'!N24)+('Population Development Matrix'!$I$14*'Population 2007 Yield'!O24)</f>
        <v>0</v>
      </c>
      <c r="K10" s="47">
        <f>('Population Development Matrix'!$D$11*'Population 2007 Yield'!B39)+('Population Development Matrix'!$E$11*'Population 2007 Yield'!C39)+('Population Development Matrix'!$F$11*'Population 2007 Yield'!D39)+('Population Development Matrix'!$G$11*'Population 2007 Yield'!E39)+('Population Development Matrix'!$H$11*'Population 2007 Yield'!F39)+('Population Development Matrix'!$I$11*'Population 2007 Yield'!G39)+('Population Development Matrix'!$D$15*'Population 2007 Yield'!J39)+('Population Development Matrix'!$E$15*'Population 2007 Yield'!K39)+('Population Development Matrix'!$F$15*'Population 2007 Yield'!L39)+('Population Development Matrix'!$G$15*'Population 2007 Yield'!M39)+('Population Development Matrix'!$H$15*'Population 2007 Yield'!N39)+('Population Development Matrix'!$I$15*'Population 2007 Yield'!O39)</f>
        <v>0</v>
      </c>
      <c r="L10" s="41">
        <f t="shared" si="1"/>
        <v>0</v>
      </c>
    </row>
    <row r="11" spans="2:12" x14ac:dyDescent="0.4">
      <c r="B11" s="44" t="s">
        <v>167</v>
      </c>
      <c r="C11" s="47">
        <f>('Population Development Matrix'!$D$9*'Population 2004 Yield'!B10)+('Population Development Matrix'!$E$9*'Population 2004 Yield'!C10)+('Population Development Matrix'!$F$9*'Population 2004 Yield'!D10)+('Population Development Matrix'!$G$9*'Population 2004 Yield'!E10)+('Population Development Matrix'!$H$9*'Population 2004 Yield'!F10)+('Population Development Matrix'!$I$9*'Population 2004 Yield'!G10)+('Population Development Matrix'!$D$13*'Population 2004 Yield'!J10)+('Population Development Matrix'!$E$13*'Population 2004 Yield'!K10)+('Population Development Matrix'!$F$13*'Population 2004 Yield'!L10)+('Population Development Matrix'!$G$13*'Population 2004 Yield'!M10)+('Population Development Matrix'!$H$13*'Population 2004 Yield'!N10)+('Population Development Matrix'!$I$13*'Population 2004 Yield'!O10)</f>
        <v>0</v>
      </c>
      <c r="D11" s="47">
        <f>('Population Development Matrix'!$D$10*'Population 2004 Yield'!B25)+('Population Development Matrix'!$E$10*'Population 2004 Yield'!C25)+('Population Development Matrix'!$F$10*'Population 2004 Yield'!D25)+('Population Development Matrix'!$G$10*'Population 2004 Yield'!E25)+('Population Development Matrix'!$H$10*'Population 2004 Yield'!F25)+('Population Development Matrix'!$I$10*'Population 2004 Yield'!G25)+('Population Development Matrix'!$D$14*'Population 2004 Yield'!J25)+('Population Development Matrix'!$E$14*'Population 2004 Yield'!K25)+('Population Development Matrix'!$F$14*'Population 2004 Yield'!L25)+('Population Development Matrix'!$G$14*'Population 2004 Yield'!M25)+('Population Development Matrix'!$H$14*'Population 2004 Yield'!N25)+('Population Development Matrix'!$I$14*'Population 2004 Yield'!O25)</f>
        <v>0</v>
      </c>
      <c r="E11" s="47">
        <f>('Population Development Matrix'!$D$11*'Population 2004 Yield'!B40)+('Population Development Matrix'!$E$11*'Population 2004 Yield'!C40)+('Population Development Matrix'!$F$11*'Population 2004 Yield'!D40)+('Population Development Matrix'!$G$11*'Population 2004 Yield'!E40)+('Population Development Matrix'!$H$11*'Population 2004 Yield'!F40)+('Population Development Matrix'!$I$11*'Population 2004 Yield'!G40)+('Population Development Matrix'!$D$15*'Population 2004 Yield'!J40)+('Population Development Matrix'!$E$15*'Population 2004 Yield'!K40)+('Population Development Matrix'!$F$15*'Population 2004 Yield'!L40)+('Population Development Matrix'!$G$15*'Population 2004 Yield'!M40)+('Population Development Matrix'!$H$15*'Population 2004 Yield'!N40)+('Population Development Matrix'!$I$15*'Population 2004 Yield'!O40)</f>
        <v>0</v>
      </c>
      <c r="F11" s="41">
        <f t="shared" si="0"/>
        <v>0</v>
      </c>
      <c r="H11" s="44" t="s">
        <v>167</v>
      </c>
      <c r="I11" s="47">
        <f>('Population Development Matrix'!$D$9*'Population 2007 Yield'!B10)+('Population Development Matrix'!$E$9*'Population 2007 Yield'!C10)+('Population Development Matrix'!$F$9*'Population 2007 Yield'!D10)+('Population Development Matrix'!$G$9*'Population 2007 Yield'!E10)+('Population Development Matrix'!$H$9*'Population 2007 Yield'!F10)+('Population Development Matrix'!$I$9*'Population 2007 Yield'!G10)+('Population Development Matrix'!$D$13*'Population 2007 Yield'!J10)+('Population Development Matrix'!$E$13*'Population 2007 Yield'!K10)+('Population Development Matrix'!$F$13*'Population 2007 Yield'!L10)+('Population Development Matrix'!$G$13*'Population 2007 Yield'!M10)+('Population Development Matrix'!$H$13*'Population 2007 Yield'!N10)+('Population Development Matrix'!$I$13*'Population 2007 Yield'!O10)</f>
        <v>0</v>
      </c>
      <c r="J11" s="47">
        <f>('Population Development Matrix'!$D$10*'Population 2007 Yield'!B25)+('Population Development Matrix'!$E$10*'Population 2007 Yield'!C25)+('Population Development Matrix'!$F$10*'Population 2007 Yield'!D25)+('Population Development Matrix'!$G$10*'Population 2007 Yield'!E25)+('Population Development Matrix'!$H$10*'Population 2007 Yield'!F25)+('Population Development Matrix'!$I$10*'Population 2007 Yield'!G25)+('Population Development Matrix'!$D$14*'Population 2007 Yield'!J25)+('Population Development Matrix'!$E$14*'Population 2007 Yield'!K25)+('Population Development Matrix'!$F$14*'Population 2007 Yield'!L25)+('Population Development Matrix'!$G$14*'Population 2007 Yield'!M25)+('Population Development Matrix'!$H$14*'Population 2007 Yield'!N25)+('Population Development Matrix'!$I$14*'Population 2007 Yield'!O25)</f>
        <v>0</v>
      </c>
      <c r="K11" s="47">
        <f>('Population Development Matrix'!$D$11*'Population 2007 Yield'!B40)+('Population Development Matrix'!$E$11*'Population 2007 Yield'!C40)+('Population Development Matrix'!$F$11*'Population 2007 Yield'!D40)+('Population Development Matrix'!$G$11*'Population 2007 Yield'!E40)+('Population Development Matrix'!$H$11*'Population 2007 Yield'!F40)+('Population Development Matrix'!$I$11*'Population 2007 Yield'!G40)+('Population Development Matrix'!$D$15*'Population 2007 Yield'!J40)+('Population Development Matrix'!$E$15*'Population 2007 Yield'!K40)+('Population Development Matrix'!$F$15*'Population 2007 Yield'!L40)+('Population Development Matrix'!$G$15*'Population 2007 Yield'!M40)+('Population Development Matrix'!$H$15*'Population 2007 Yield'!N40)+('Population Development Matrix'!$I$15*'Population 2007 Yield'!O40)</f>
        <v>0</v>
      </c>
      <c r="L11" s="41">
        <f t="shared" si="1"/>
        <v>0</v>
      </c>
    </row>
    <row r="12" spans="2:12" x14ac:dyDescent="0.4">
      <c r="B12" s="42" t="s">
        <v>168</v>
      </c>
      <c r="C12" s="47">
        <f>('Population Development Matrix'!$D$9*'Population 2004 Yield'!B11)+('Population Development Matrix'!$E$9*'Population 2004 Yield'!C11)+('Population Development Matrix'!$F$9*'Population 2004 Yield'!D11)+('Population Development Matrix'!$G$9*'Population 2004 Yield'!E11)+('Population Development Matrix'!$H$9*'Population 2004 Yield'!F11)+('Population Development Matrix'!$I$9*'Population 2004 Yield'!G11)+('Population Development Matrix'!$D$13*'Population 2004 Yield'!J11)+('Population Development Matrix'!$E$13*'Population 2004 Yield'!K11)+('Population Development Matrix'!$F$13*'Population 2004 Yield'!L11)+('Population Development Matrix'!$G$13*'Population 2004 Yield'!M11)+('Population Development Matrix'!$H$13*'Population 2004 Yield'!N11)+('Population Development Matrix'!$I$13*'Population 2004 Yield'!O11)</f>
        <v>0</v>
      </c>
      <c r="D12" s="47">
        <f>('Population Development Matrix'!$D$10*'Population 2004 Yield'!B26)+('Population Development Matrix'!$E$10*'Population 2004 Yield'!C26)+('Population Development Matrix'!$F$10*'Population 2004 Yield'!D26)+('Population Development Matrix'!$G$10*'Population 2004 Yield'!E26)+('Population Development Matrix'!$H$10*'Population 2004 Yield'!F26)+('Population Development Matrix'!$I$10*'Population 2004 Yield'!G26)+('Population Development Matrix'!$D$14*'Population 2004 Yield'!J26)+('Population Development Matrix'!$E$14*'Population 2004 Yield'!K26)+('Population Development Matrix'!$F$14*'Population 2004 Yield'!L26)+('Population Development Matrix'!$G$14*'Population 2004 Yield'!M26)+('Population Development Matrix'!$H$14*'Population 2004 Yield'!N26)+('Population Development Matrix'!$I$14*'Population 2004 Yield'!O26)</f>
        <v>0</v>
      </c>
      <c r="E12" s="47">
        <f>('Population Development Matrix'!$D$11*'Population 2004 Yield'!B41)+('Population Development Matrix'!$E$11*'Population 2004 Yield'!C41)+('Population Development Matrix'!$F$11*'Population 2004 Yield'!D41)+('Population Development Matrix'!$G$11*'Population 2004 Yield'!E41)+('Population Development Matrix'!$H$11*'Population 2004 Yield'!F41)+('Population Development Matrix'!$I$11*'Population 2004 Yield'!G41)+('Population Development Matrix'!$D$15*'Population 2004 Yield'!J41)+('Population Development Matrix'!$E$15*'Population 2004 Yield'!K41)+('Population Development Matrix'!$F$15*'Population 2004 Yield'!L41)+('Population Development Matrix'!$G$15*'Population 2004 Yield'!M41)+('Population Development Matrix'!$H$15*'Population 2004 Yield'!N41)+('Population Development Matrix'!$I$15*'Population 2004 Yield'!O41)</f>
        <v>0</v>
      </c>
      <c r="F12" s="41">
        <f t="shared" si="0"/>
        <v>0</v>
      </c>
      <c r="H12" s="42" t="s">
        <v>168</v>
      </c>
      <c r="I12" s="47">
        <f>('Population Development Matrix'!$D$9*'Population 2007 Yield'!B11)+('Population Development Matrix'!$E$9*'Population 2007 Yield'!C11)+('Population Development Matrix'!$F$9*'Population 2007 Yield'!D11)+('Population Development Matrix'!$G$9*'Population 2007 Yield'!E11)+('Population Development Matrix'!$H$9*'Population 2007 Yield'!F11)+('Population Development Matrix'!$I$9*'Population 2007 Yield'!G11)+('Population Development Matrix'!$D$13*'Population 2007 Yield'!J11)+('Population Development Matrix'!$E$13*'Population 2007 Yield'!K11)+('Population Development Matrix'!$F$13*'Population 2007 Yield'!L11)+('Population Development Matrix'!$G$13*'Population 2007 Yield'!M11)+('Population Development Matrix'!$H$13*'Population 2007 Yield'!N11)+('Population Development Matrix'!$I$13*'Population 2007 Yield'!O11)</f>
        <v>0</v>
      </c>
      <c r="J12" s="47">
        <f>('Population Development Matrix'!$D$10*'Population 2007 Yield'!B26)+('Population Development Matrix'!$E$10*'Population 2007 Yield'!C26)+('Population Development Matrix'!$F$10*'Population 2007 Yield'!D26)+('Population Development Matrix'!$G$10*'Population 2007 Yield'!E26)+('Population Development Matrix'!$H$10*'Population 2007 Yield'!F26)+('Population Development Matrix'!$I$10*'Population 2007 Yield'!G26)+('Population Development Matrix'!$D$14*'Population 2007 Yield'!J26)+('Population Development Matrix'!$E$14*'Population 2007 Yield'!K26)+('Population Development Matrix'!$F$14*'Population 2007 Yield'!L26)+('Population Development Matrix'!$G$14*'Population 2007 Yield'!M26)+('Population Development Matrix'!$H$14*'Population 2007 Yield'!N26)+('Population Development Matrix'!$I$14*'Population 2007 Yield'!O26)</f>
        <v>0</v>
      </c>
      <c r="K12" s="47">
        <f>('Population Development Matrix'!$D$11*'Population 2007 Yield'!B41)+('Population Development Matrix'!$E$11*'Population 2007 Yield'!C41)+('Population Development Matrix'!$F$11*'Population 2007 Yield'!D41)+('Population Development Matrix'!$G$11*'Population 2007 Yield'!E41)+('Population Development Matrix'!$H$11*'Population 2007 Yield'!F41)+('Population Development Matrix'!$I$11*'Population 2007 Yield'!G41)+('Population Development Matrix'!$D$15*'Population 2007 Yield'!J41)+('Population Development Matrix'!$E$15*'Population 2007 Yield'!K41)+('Population Development Matrix'!$F$15*'Population 2007 Yield'!L41)+('Population Development Matrix'!$G$15*'Population 2007 Yield'!M41)+('Population Development Matrix'!$H$15*'Population 2007 Yield'!N41)+('Population Development Matrix'!$I$15*'Population 2007 Yield'!O41)</f>
        <v>0</v>
      </c>
      <c r="L12" s="41">
        <f t="shared" si="1"/>
        <v>0</v>
      </c>
    </row>
    <row r="13" spans="2:12" x14ac:dyDescent="0.4">
      <c r="B13" s="42" t="s">
        <v>169</v>
      </c>
      <c r="C13" s="47">
        <f>('Population Development Matrix'!$D$9*'Population 2004 Yield'!B12)+('Population Development Matrix'!$E$9*'Population 2004 Yield'!C12)+('Population Development Matrix'!$F$9*'Population 2004 Yield'!D12)+('Population Development Matrix'!$G$9*'Population 2004 Yield'!E12)+('Population Development Matrix'!$H$9*'Population 2004 Yield'!F12)+('Population Development Matrix'!$I$9*'Population 2004 Yield'!G12)+('Population Development Matrix'!$D$13*'Population 2004 Yield'!J12)+('Population Development Matrix'!$E$13*'Population 2004 Yield'!K12)+('Population Development Matrix'!$F$13*'Population 2004 Yield'!L12)+('Population Development Matrix'!$G$13*'Population 2004 Yield'!M12)+('Population Development Matrix'!$H$13*'Population 2004 Yield'!N12)+('Population Development Matrix'!$I$13*'Population 2004 Yield'!O12)</f>
        <v>0</v>
      </c>
      <c r="D13" s="47">
        <f>('Population Development Matrix'!$D$10*'Population 2004 Yield'!B27)+('Population Development Matrix'!$E$10*'Population 2004 Yield'!C27)+('Population Development Matrix'!$F$10*'Population 2004 Yield'!D27)+('Population Development Matrix'!$G$10*'Population 2004 Yield'!E27)+('Population Development Matrix'!$H$10*'Population 2004 Yield'!F27)+('Population Development Matrix'!$I$10*'Population 2004 Yield'!G27)+('Population Development Matrix'!$D$14*'Population 2004 Yield'!J27)+('Population Development Matrix'!$E$14*'Population 2004 Yield'!K27)+('Population Development Matrix'!$F$14*'Population 2004 Yield'!L27)+('Population Development Matrix'!$G$14*'Population 2004 Yield'!M27)+('Population Development Matrix'!$H$14*'Population 2004 Yield'!N27)+('Population Development Matrix'!$I$14*'Population 2004 Yield'!O27)</f>
        <v>0</v>
      </c>
      <c r="E13" s="47">
        <f>('Population Development Matrix'!$D$11*'Population 2004 Yield'!B42)+('Population Development Matrix'!$E$11*'Population 2004 Yield'!C42)+('Population Development Matrix'!$F$11*'Population 2004 Yield'!D42)+('Population Development Matrix'!$G$11*'Population 2004 Yield'!E42)+('Population Development Matrix'!$H$11*'Population 2004 Yield'!F42)+('Population Development Matrix'!$I$11*'Population 2004 Yield'!G42)+('Population Development Matrix'!$D$15*'Population 2004 Yield'!J42)+('Population Development Matrix'!$E$15*'Population 2004 Yield'!K42)+('Population Development Matrix'!$F$15*'Population 2004 Yield'!L42)+('Population Development Matrix'!$G$15*'Population 2004 Yield'!M42)+('Population Development Matrix'!$H$15*'Population 2004 Yield'!N42)+('Population Development Matrix'!$I$15*'Population 2004 Yield'!O42)</f>
        <v>0</v>
      </c>
      <c r="F13" s="41">
        <f t="shared" si="0"/>
        <v>0</v>
      </c>
      <c r="H13" s="42" t="s">
        <v>169</v>
      </c>
      <c r="I13" s="47">
        <f>('Population Development Matrix'!$D$9*'Population 2007 Yield'!B12)+('Population Development Matrix'!$E$9*'Population 2007 Yield'!C12)+('Population Development Matrix'!$F$9*'Population 2007 Yield'!D12)+('Population Development Matrix'!$G$9*'Population 2007 Yield'!E12)+('Population Development Matrix'!$H$9*'Population 2007 Yield'!F12)+('Population Development Matrix'!$I$9*'Population 2007 Yield'!G12)+('Population Development Matrix'!$D$13*'Population 2007 Yield'!J12)+('Population Development Matrix'!$E$13*'Population 2007 Yield'!K12)+('Population Development Matrix'!$F$13*'Population 2007 Yield'!L12)+('Population Development Matrix'!$G$13*'Population 2007 Yield'!M12)+('Population Development Matrix'!$H$13*'Population 2007 Yield'!N12)+('Population Development Matrix'!$I$13*'Population 2007 Yield'!O12)</f>
        <v>0</v>
      </c>
      <c r="J13" s="47">
        <f>('Population Development Matrix'!$D$10*'Population 2007 Yield'!B27)+('Population Development Matrix'!$E$10*'Population 2007 Yield'!C27)+('Population Development Matrix'!$F$10*'Population 2007 Yield'!D27)+('Population Development Matrix'!$G$10*'Population 2007 Yield'!E27)+('Population Development Matrix'!$H$10*'Population 2007 Yield'!F27)+('Population Development Matrix'!$I$10*'Population 2007 Yield'!G27)+('Population Development Matrix'!$D$14*'Population 2007 Yield'!J27)+('Population Development Matrix'!$E$14*'Population 2007 Yield'!K27)+('Population Development Matrix'!$F$14*'Population 2007 Yield'!L27)+('Population Development Matrix'!$G$14*'Population 2007 Yield'!M27)+('Population Development Matrix'!$H$14*'Population 2007 Yield'!N27)+('Population Development Matrix'!$I$14*'Population 2007 Yield'!O27)</f>
        <v>0</v>
      </c>
      <c r="K13" s="47">
        <f>('Population Development Matrix'!$D$11*'Population 2007 Yield'!B42)+('Population Development Matrix'!$E$11*'Population 2007 Yield'!C42)+('Population Development Matrix'!$F$11*'Population 2007 Yield'!D42)+('Population Development Matrix'!$G$11*'Population 2007 Yield'!E42)+('Population Development Matrix'!$H$11*'Population 2007 Yield'!F42)+('Population Development Matrix'!$I$11*'Population 2007 Yield'!G42)+('Population Development Matrix'!$D$15*'Population 2007 Yield'!J42)+('Population Development Matrix'!$E$15*'Population 2007 Yield'!K42)+('Population Development Matrix'!$F$15*'Population 2007 Yield'!L42)+('Population Development Matrix'!$G$15*'Population 2007 Yield'!M42)+('Population Development Matrix'!$H$15*'Population 2007 Yield'!N42)+('Population Development Matrix'!$I$15*'Population 2007 Yield'!O42)</f>
        <v>0</v>
      </c>
      <c r="L13" s="41">
        <f t="shared" si="1"/>
        <v>0</v>
      </c>
    </row>
    <row r="14" spans="2:12" x14ac:dyDescent="0.4">
      <c r="B14" s="42" t="s">
        <v>170</v>
      </c>
      <c r="C14" s="47">
        <f>('Population Development Matrix'!$D$9*'Population 2004 Yield'!B13)+('Population Development Matrix'!$E$9*'Population 2004 Yield'!C13)+('Population Development Matrix'!$F$9*'Population 2004 Yield'!D13)+('Population Development Matrix'!$G$9*'Population 2004 Yield'!E13)+('Population Development Matrix'!$H$9*'Population 2004 Yield'!F13)+('Population Development Matrix'!$I$9*'Population 2004 Yield'!G13)+('Population Development Matrix'!$D$13*'Population 2004 Yield'!J13)+('Population Development Matrix'!$E$13*'Population 2004 Yield'!K13)+('Population Development Matrix'!$F$13*'Population 2004 Yield'!L13)+('Population Development Matrix'!$G$13*'Population 2004 Yield'!M13)+('Population Development Matrix'!$H$13*'Population 2004 Yield'!N13)+('Population Development Matrix'!$I$13*'Population 2004 Yield'!O13)</f>
        <v>0</v>
      </c>
      <c r="D14" s="47">
        <f>('Population Development Matrix'!$D$10*'Population 2004 Yield'!B28)+('Population Development Matrix'!$E$10*'Population 2004 Yield'!C28)+('Population Development Matrix'!$F$10*'Population 2004 Yield'!D28)+('Population Development Matrix'!$G$10*'Population 2004 Yield'!E28)+('Population Development Matrix'!$H$10*'Population 2004 Yield'!F28)+('Population Development Matrix'!$I$10*'Population 2004 Yield'!G28)+('Population Development Matrix'!$D$14*'Population 2004 Yield'!J28)+('Population Development Matrix'!$E$14*'Population 2004 Yield'!K28)+('Population Development Matrix'!$F$14*'Population 2004 Yield'!L28)+('Population Development Matrix'!$G$14*'Population 2004 Yield'!M28)+('Population Development Matrix'!$H$14*'Population 2004 Yield'!N28)+('Population Development Matrix'!$I$14*'Population 2004 Yield'!O28)</f>
        <v>0</v>
      </c>
      <c r="E14" s="47">
        <f>('Population Development Matrix'!$D$11*'Population 2004 Yield'!B43)+('Population Development Matrix'!$E$11*'Population 2004 Yield'!C43)+('Population Development Matrix'!$F$11*'Population 2004 Yield'!D43)+('Population Development Matrix'!$G$11*'Population 2004 Yield'!E43)+('Population Development Matrix'!$H$11*'Population 2004 Yield'!F43)+('Population Development Matrix'!$I$11*'Population 2004 Yield'!G43)+('Population Development Matrix'!$D$15*'Population 2004 Yield'!J43)+('Population Development Matrix'!$E$15*'Population 2004 Yield'!K43)+('Population Development Matrix'!$F$15*'Population 2004 Yield'!L43)+('Population Development Matrix'!$G$15*'Population 2004 Yield'!M43)+('Population Development Matrix'!$H$15*'Population 2004 Yield'!N43)+('Population Development Matrix'!$I$15*'Population 2004 Yield'!O43)</f>
        <v>0</v>
      </c>
      <c r="F14" s="41">
        <f t="shared" si="0"/>
        <v>0</v>
      </c>
      <c r="H14" s="42" t="s">
        <v>170</v>
      </c>
      <c r="I14" s="47">
        <f>('Population Development Matrix'!$D$9*'Population 2007 Yield'!B13)+('Population Development Matrix'!$E$9*'Population 2007 Yield'!C13)+('Population Development Matrix'!$F$9*'Population 2007 Yield'!D13)+('Population Development Matrix'!$G$9*'Population 2007 Yield'!E13)+('Population Development Matrix'!$H$9*'Population 2007 Yield'!F13)+('Population Development Matrix'!$I$9*'Population 2007 Yield'!G13)+('Population Development Matrix'!$D$13*'Population 2007 Yield'!J13)+('Population Development Matrix'!$E$13*'Population 2007 Yield'!K13)+('Population Development Matrix'!$F$13*'Population 2007 Yield'!L13)+('Population Development Matrix'!$G$13*'Population 2007 Yield'!M13)+('Population Development Matrix'!$H$13*'Population 2007 Yield'!N13)+('Population Development Matrix'!$I$13*'Population 2007 Yield'!O13)</f>
        <v>0</v>
      </c>
      <c r="J14" s="47">
        <f>('Population Development Matrix'!$D$10*'Population 2007 Yield'!B28)+('Population Development Matrix'!$E$10*'Population 2007 Yield'!C28)+('Population Development Matrix'!$F$10*'Population 2007 Yield'!D28)+('Population Development Matrix'!$G$10*'Population 2007 Yield'!E28)+('Population Development Matrix'!$H$10*'Population 2007 Yield'!F28)+('Population Development Matrix'!$I$10*'Population 2007 Yield'!G28)+('Population Development Matrix'!$D$14*'Population 2007 Yield'!J28)+('Population Development Matrix'!$E$14*'Population 2007 Yield'!K28)+('Population Development Matrix'!$F$14*'Population 2007 Yield'!L28)+('Population Development Matrix'!$G$14*'Population 2007 Yield'!M28)+('Population Development Matrix'!$H$14*'Population 2007 Yield'!N28)+('Population Development Matrix'!$I$14*'Population 2007 Yield'!O28)</f>
        <v>0</v>
      </c>
      <c r="K14" s="47">
        <f>('Population Development Matrix'!$D$11*'Population 2007 Yield'!B43)+('Population Development Matrix'!$E$11*'Population 2007 Yield'!C43)+('Population Development Matrix'!$F$11*'Population 2007 Yield'!D43)+('Population Development Matrix'!$G$11*'Population 2007 Yield'!E43)+('Population Development Matrix'!$H$11*'Population 2007 Yield'!F43)+('Population Development Matrix'!$I$11*'Population 2007 Yield'!G43)+('Population Development Matrix'!$D$15*'Population 2007 Yield'!J43)+('Population Development Matrix'!$E$15*'Population 2007 Yield'!K43)+('Population Development Matrix'!$F$15*'Population 2007 Yield'!L43)+('Population Development Matrix'!$G$15*'Population 2007 Yield'!M43)+('Population Development Matrix'!$H$15*'Population 2007 Yield'!N43)+('Population Development Matrix'!$I$15*'Population 2007 Yield'!O43)</f>
        <v>0</v>
      </c>
      <c r="L14" s="41">
        <f t="shared" si="1"/>
        <v>0</v>
      </c>
    </row>
    <row r="15" spans="2:12" x14ac:dyDescent="0.4">
      <c r="B15" s="42" t="s">
        <v>171</v>
      </c>
      <c r="C15" s="47">
        <f>('Population Development Matrix'!$D$9*'Population 2004 Yield'!B14)+('Population Development Matrix'!$E$9*'Population 2004 Yield'!C14)+('Population Development Matrix'!$F$9*'Population 2004 Yield'!D14)+('Population Development Matrix'!$G$9*'Population 2004 Yield'!E14)+('Population Development Matrix'!$H$9*'Population 2004 Yield'!F14)+('Population Development Matrix'!$I$9*'Population 2004 Yield'!G14)+('Population Development Matrix'!$D$13*'Population 2004 Yield'!J14)+('Population Development Matrix'!$E$13*'Population 2004 Yield'!K14)+('Population Development Matrix'!$F$13*'Population 2004 Yield'!L14)+('Population Development Matrix'!$G$13*'Population 2004 Yield'!M14)+('Population Development Matrix'!$H$13*'Population 2004 Yield'!N14)+('Population Development Matrix'!$I$13*'Population 2004 Yield'!O14)</f>
        <v>0</v>
      </c>
      <c r="D15" s="47">
        <f>('Population Development Matrix'!$D$10*'Population 2004 Yield'!B29)+('Population Development Matrix'!$E$10*'Population 2004 Yield'!C29)+('Population Development Matrix'!$F$10*'Population 2004 Yield'!D29)+('Population Development Matrix'!$G$10*'Population 2004 Yield'!E29)+('Population Development Matrix'!$H$10*'Population 2004 Yield'!F29)+('Population Development Matrix'!$I$10*'Population 2004 Yield'!G29)+('Population Development Matrix'!$D$14*'Population 2004 Yield'!J29)+('Population Development Matrix'!$E$14*'Population 2004 Yield'!K29)+('Population Development Matrix'!$F$14*'Population 2004 Yield'!L29)+('Population Development Matrix'!$G$14*'Population 2004 Yield'!M29)+('Population Development Matrix'!$H$14*'Population 2004 Yield'!N29)+('Population Development Matrix'!$I$14*'Population 2004 Yield'!O29)</f>
        <v>0</v>
      </c>
      <c r="E15" s="47">
        <f>('Population Development Matrix'!$D$11*'Population 2004 Yield'!B44)+('Population Development Matrix'!$E$11*'Population 2004 Yield'!C44)+('Population Development Matrix'!$F$11*'Population 2004 Yield'!D44)+('Population Development Matrix'!$G$11*'Population 2004 Yield'!E44)+('Population Development Matrix'!$H$11*'Population 2004 Yield'!F44)+('Population Development Matrix'!$I$11*'Population 2004 Yield'!G44)+('Population Development Matrix'!$D$15*'Population 2004 Yield'!J44)+('Population Development Matrix'!$E$15*'Population 2004 Yield'!K44)+('Population Development Matrix'!$F$15*'Population 2004 Yield'!L44)+('Population Development Matrix'!$G$15*'Population 2004 Yield'!M44)+('Population Development Matrix'!$H$15*'Population 2004 Yield'!N44)+('Population Development Matrix'!$I$15*'Population 2004 Yield'!O44)</f>
        <v>0</v>
      </c>
      <c r="F15" s="41">
        <f t="shared" si="0"/>
        <v>0</v>
      </c>
      <c r="H15" s="42" t="s">
        <v>171</v>
      </c>
      <c r="I15" s="47">
        <f>('Population Development Matrix'!$D$9*'Population 2007 Yield'!B14)+('Population Development Matrix'!$E$9*'Population 2007 Yield'!C14)+('Population Development Matrix'!$F$9*'Population 2007 Yield'!D14)+('Population Development Matrix'!$G$9*'Population 2007 Yield'!E14)+('Population Development Matrix'!$H$9*'Population 2007 Yield'!F14)+('Population Development Matrix'!$I$9*'Population 2007 Yield'!G14)+('Population Development Matrix'!$D$13*'Population 2007 Yield'!J14)+('Population Development Matrix'!$E$13*'Population 2007 Yield'!K14)+('Population Development Matrix'!$F$13*'Population 2007 Yield'!L14)+('Population Development Matrix'!$G$13*'Population 2007 Yield'!M14)+('Population Development Matrix'!$H$13*'Population 2007 Yield'!N14)+('Population Development Matrix'!$I$13*'Population 2007 Yield'!O14)</f>
        <v>0</v>
      </c>
      <c r="J15" s="47">
        <f>('Population Development Matrix'!$D$10*'Population 2007 Yield'!B29)+('Population Development Matrix'!$E$10*'Population 2007 Yield'!C29)+('Population Development Matrix'!$F$10*'Population 2007 Yield'!D29)+('Population Development Matrix'!$G$10*'Population 2007 Yield'!E29)+('Population Development Matrix'!$H$10*'Population 2007 Yield'!F29)+('Population Development Matrix'!$I$10*'Population 2007 Yield'!G29)+('Population Development Matrix'!$D$14*'Population 2007 Yield'!J29)+('Population Development Matrix'!$E$14*'Population 2007 Yield'!K29)+('Population Development Matrix'!$F$14*'Population 2007 Yield'!L29)+('Population Development Matrix'!$G$14*'Population 2007 Yield'!M29)+('Population Development Matrix'!$H$14*'Population 2007 Yield'!N29)+('Population Development Matrix'!$I$14*'Population 2007 Yield'!O29)</f>
        <v>0</v>
      </c>
      <c r="K15" s="47">
        <f>('Population Development Matrix'!$D$11*'Population 2007 Yield'!B44)+('Population Development Matrix'!$E$11*'Population 2007 Yield'!C44)+('Population Development Matrix'!$F$11*'Population 2007 Yield'!D44)+('Population Development Matrix'!$G$11*'Population 2007 Yield'!E44)+('Population Development Matrix'!$H$11*'Population 2007 Yield'!F44)+('Population Development Matrix'!$I$11*'Population 2007 Yield'!G44)+('Population Development Matrix'!$D$15*'Population 2007 Yield'!J44)+('Population Development Matrix'!$E$15*'Population 2007 Yield'!K44)+('Population Development Matrix'!$F$15*'Population 2007 Yield'!L44)+('Population Development Matrix'!$G$15*'Population 2007 Yield'!M44)+('Population Development Matrix'!$H$15*'Population 2007 Yield'!N44)+('Population Development Matrix'!$I$15*'Population 2007 Yield'!O44)</f>
        <v>0</v>
      </c>
      <c r="L15" s="41">
        <f t="shared" si="1"/>
        <v>0</v>
      </c>
    </row>
    <row r="16" spans="2:12" x14ac:dyDescent="0.4">
      <c r="B16" s="42" t="s">
        <v>90</v>
      </c>
      <c r="C16" s="47">
        <f>('Population Development Matrix'!$D$9*'Population 2004 Yield'!B15)+('Population Development Matrix'!$E$9*'Population 2004 Yield'!C15)+('Population Development Matrix'!$F$9*'Population 2004 Yield'!D15)+('Population Development Matrix'!$G$9*'Population 2004 Yield'!E15)+('Population Development Matrix'!$H$9*'Population 2004 Yield'!F15)+('Population Development Matrix'!$I$9*'Population 2004 Yield'!G15)+('Population Development Matrix'!$D$13*'Population 2004 Yield'!J15)+('Population Development Matrix'!$E$13*'Population 2004 Yield'!K15)+('Population Development Matrix'!$F$13*'Population 2004 Yield'!L15)+('Population Development Matrix'!$G$13*'Population 2004 Yield'!M15)+('Population Development Matrix'!$H$13*'Population 2004 Yield'!N15)+('Population Development Matrix'!$I$13*'Population 2004 Yield'!O15)</f>
        <v>0</v>
      </c>
      <c r="D16" s="47">
        <f>('Population Development Matrix'!$D$10*'Population 2004 Yield'!B30)+('Population Development Matrix'!$E$10*'Population 2004 Yield'!C30)+('Population Development Matrix'!$F$10*'Population 2004 Yield'!D30)+('Population Development Matrix'!$G$10*'Population 2004 Yield'!E30)+('Population Development Matrix'!$H$10*'Population 2004 Yield'!F30)+('Population Development Matrix'!$I$10*'Population 2004 Yield'!G30)+('Population Development Matrix'!$D$14*'Population 2004 Yield'!J30)+('Population Development Matrix'!$E$14*'Population 2004 Yield'!K30)+('Population Development Matrix'!$F$14*'Population 2004 Yield'!L30)+('Population Development Matrix'!$G$14*'Population 2004 Yield'!M30)+('Population Development Matrix'!$H$14*'Population 2004 Yield'!N30)+('Population Development Matrix'!$I$14*'Population 2004 Yield'!O30)</f>
        <v>0</v>
      </c>
      <c r="E16" s="47">
        <f>('Population Development Matrix'!$D$11*'Population 2004 Yield'!B45)+('Population Development Matrix'!$E$11*'Population 2004 Yield'!C45)+('Population Development Matrix'!$F$11*'Population 2004 Yield'!D45)+('Population Development Matrix'!$G$11*'Population 2004 Yield'!E45)+('Population Development Matrix'!$H$11*'Population 2004 Yield'!F45)+('Population Development Matrix'!$I$11*'Population 2004 Yield'!G45)+('Population Development Matrix'!$D$15*'Population 2004 Yield'!J45)+('Population Development Matrix'!$E$15*'Population 2004 Yield'!K45)+('Population Development Matrix'!$F$15*'Population 2004 Yield'!L45)+('Population Development Matrix'!$G$15*'Population 2004 Yield'!M45)+('Population Development Matrix'!$H$15*'Population 2004 Yield'!N45)+('Population Development Matrix'!$I$15*'Population 2004 Yield'!O45)</f>
        <v>0</v>
      </c>
      <c r="F16" s="41">
        <f t="shared" si="0"/>
        <v>0</v>
      </c>
      <c r="H16" s="42" t="s">
        <v>90</v>
      </c>
      <c r="I16" s="47">
        <f>('Population Development Matrix'!$D$9*'Population 2007 Yield'!B15)+('Population Development Matrix'!$E$9*'Population 2007 Yield'!C15)+('Population Development Matrix'!$F$9*'Population 2007 Yield'!D15)+('Population Development Matrix'!$G$9*'Population 2007 Yield'!E15)+('Population Development Matrix'!$H$9*'Population 2007 Yield'!F15)+('Population Development Matrix'!$I$9*'Population 2007 Yield'!G15)+('Population Development Matrix'!$D$13*'Population 2007 Yield'!J15)+('Population Development Matrix'!$E$13*'Population 2007 Yield'!K15)+('Population Development Matrix'!$F$13*'Population 2007 Yield'!L15)+('Population Development Matrix'!$G$13*'Population 2007 Yield'!M15)+('Population Development Matrix'!$H$13*'Population 2007 Yield'!N15)+('Population Development Matrix'!$I$13*'Population 2007 Yield'!O15)</f>
        <v>0</v>
      </c>
      <c r="J16" s="47">
        <f>('Population Development Matrix'!$D$10*'Population 2007 Yield'!B30)+('Population Development Matrix'!$E$10*'Population 2007 Yield'!C30)+('Population Development Matrix'!$F$10*'Population 2007 Yield'!D30)+('Population Development Matrix'!$G$10*'Population 2007 Yield'!E30)+('Population Development Matrix'!$H$10*'Population 2007 Yield'!F30)+('Population Development Matrix'!$I$10*'Population 2007 Yield'!G30)+('Population Development Matrix'!$D$14*'Population 2007 Yield'!J30)+('Population Development Matrix'!$E$14*'Population 2007 Yield'!K30)+('Population Development Matrix'!$F$14*'Population 2007 Yield'!L30)+('Population Development Matrix'!$G$14*'Population 2007 Yield'!M30)+('Population Development Matrix'!$H$14*'Population 2007 Yield'!N30)+('Population Development Matrix'!$I$14*'Population 2007 Yield'!O30)</f>
        <v>0</v>
      </c>
      <c r="K16" s="47">
        <f>('Population Development Matrix'!$D$11*'Population 2007 Yield'!B45)+('Population Development Matrix'!$E$11*'Population 2007 Yield'!C45)+('Population Development Matrix'!$F$11*'Population 2007 Yield'!D45)+('Population Development Matrix'!$G$11*'Population 2007 Yield'!E45)+('Population Development Matrix'!$H$11*'Population 2007 Yield'!F45)+('Population Development Matrix'!$I$11*'Population 2007 Yield'!G45)+('Population Development Matrix'!$D$15*'Population 2007 Yield'!J45)+('Population Development Matrix'!$E$15*'Population 2007 Yield'!K45)+('Population Development Matrix'!$F$15*'Population 2007 Yield'!L45)+('Population Development Matrix'!$G$15*'Population 2007 Yield'!M45)+('Population Development Matrix'!$H$15*'Population 2007 Yield'!N45)+('Population Development Matrix'!$I$15*'Population 2007 Yield'!O45)</f>
        <v>0</v>
      </c>
      <c r="L16" s="41">
        <f t="shared" si="1"/>
        <v>0</v>
      </c>
    </row>
    <row r="17" spans="2:12" x14ac:dyDescent="0.4">
      <c r="B17" s="42" t="s">
        <v>49</v>
      </c>
      <c r="C17" s="41">
        <f>SUM(C7:C16)</f>
        <v>0</v>
      </c>
      <c r="D17" s="41">
        <f>SUM(D7:D16)</f>
        <v>0</v>
      </c>
      <c r="E17" s="41">
        <f>SUM(E7:E16)</f>
        <v>0</v>
      </c>
      <c r="F17" s="41">
        <f t="shared" si="0"/>
        <v>0</v>
      </c>
      <c r="H17" s="42" t="s">
        <v>49</v>
      </c>
      <c r="I17" s="41">
        <f>SUM(I7:I16)</f>
        <v>0</v>
      </c>
      <c r="J17" s="41">
        <f>SUM(J7:J16)</f>
        <v>0</v>
      </c>
      <c r="K17" s="41">
        <f>SUM(K7:K16)</f>
        <v>0</v>
      </c>
      <c r="L17" s="41">
        <f t="shared" si="1"/>
        <v>0</v>
      </c>
    </row>
    <row r="18" spans="2:12" x14ac:dyDescent="0.4">
      <c r="B18" s="26"/>
      <c r="C18" s="28"/>
      <c r="D18" s="28"/>
      <c r="E18" s="28"/>
      <c r="F18" s="28"/>
      <c r="H18" s="26"/>
    </row>
    <row r="19" spans="2:12" x14ac:dyDescent="0.4">
      <c r="B19" s="405" t="s">
        <v>172</v>
      </c>
      <c r="C19" s="405"/>
      <c r="D19" s="405"/>
      <c r="E19" s="405"/>
      <c r="F19" s="405"/>
      <c r="H19" s="405" t="s">
        <v>173</v>
      </c>
      <c r="I19" s="405"/>
      <c r="J19" s="405"/>
      <c r="K19" s="405"/>
      <c r="L19" s="405"/>
    </row>
    <row r="20" spans="2:12" x14ac:dyDescent="0.4">
      <c r="B20" s="26"/>
      <c r="C20" s="28"/>
      <c r="D20" s="28"/>
      <c r="E20" s="28"/>
      <c r="F20" s="28"/>
      <c r="H20" s="26"/>
    </row>
    <row r="21" spans="2:12" x14ac:dyDescent="0.4">
      <c r="B21" s="46" t="s">
        <v>89</v>
      </c>
      <c r="C21" s="42" t="s">
        <v>51</v>
      </c>
      <c r="D21" s="42" t="s">
        <v>52</v>
      </c>
      <c r="E21" s="42" t="s">
        <v>155</v>
      </c>
      <c r="F21" s="45" t="s">
        <v>49</v>
      </c>
      <c r="H21" s="46" t="s">
        <v>89</v>
      </c>
      <c r="I21" s="42" t="s">
        <v>51</v>
      </c>
      <c r="J21" s="42" t="s">
        <v>52</v>
      </c>
      <c r="K21" s="42" t="s">
        <v>155</v>
      </c>
      <c r="L21" s="45" t="s">
        <v>49</v>
      </c>
    </row>
    <row r="22" spans="2:12" x14ac:dyDescent="0.4">
      <c r="B22" s="42" t="s">
        <v>174</v>
      </c>
      <c r="C22" s="43">
        <f>+C7+C8</f>
        <v>0</v>
      </c>
      <c r="D22" s="43">
        <f>+D7+D8</f>
        <v>0</v>
      </c>
      <c r="E22" s="43">
        <f>+E7+E8</f>
        <v>0</v>
      </c>
      <c r="F22" s="41">
        <f>SUM(C22:E22)</f>
        <v>0</v>
      </c>
      <c r="H22" s="42" t="s">
        <v>174</v>
      </c>
      <c r="I22" s="43">
        <f>+I7+I8</f>
        <v>0</v>
      </c>
      <c r="J22" s="43">
        <f>+J7+J8</f>
        <v>0</v>
      </c>
      <c r="K22" s="43">
        <f>+K7+K8</f>
        <v>0</v>
      </c>
      <c r="L22" s="41">
        <f>SUM(I22:K22)</f>
        <v>0</v>
      </c>
    </row>
    <row r="23" spans="2:12" x14ac:dyDescent="0.4">
      <c r="B23" s="44" t="s">
        <v>165</v>
      </c>
      <c r="C23" s="43">
        <f t="shared" ref="C23:E24" si="2">+C9</f>
        <v>0</v>
      </c>
      <c r="D23" s="43">
        <f t="shared" si="2"/>
        <v>0</v>
      </c>
      <c r="E23" s="43">
        <f t="shared" si="2"/>
        <v>0</v>
      </c>
      <c r="F23" s="41">
        <f>SUM(C23:E23)</f>
        <v>0</v>
      </c>
      <c r="H23" s="44" t="s">
        <v>165</v>
      </c>
      <c r="I23" s="43">
        <f t="shared" ref="I23:K24" si="3">+I9</f>
        <v>0</v>
      </c>
      <c r="J23" s="43">
        <f t="shared" si="3"/>
        <v>0</v>
      </c>
      <c r="K23" s="43">
        <f t="shared" si="3"/>
        <v>0</v>
      </c>
      <c r="L23" s="41">
        <f>SUM(I23:K23)</f>
        <v>0</v>
      </c>
    </row>
    <row r="24" spans="2:12" x14ac:dyDescent="0.4">
      <c r="B24" s="44" t="s">
        <v>166</v>
      </c>
      <c r="C24" s="43">
        <f t="shared" si="2"/>
        <v>0</v>
      </c>
      <c r="D24" s="43">
        <f t="shared" si="2"/>
        <v>0</v>
      </c>
      <c r="E24" s="43">
        <f t="shared" si="2"/>
        <v>0</v>
      </c>
      <c r="F24" s="41">
        <f>SUM(C24:E24)</f>
        <v>0</v>
      </c>
      <c r="H24" s="44" t="s">
        <v>166</v>
      </c>
      <c r="I24" s="43">
        <f t="shared" si="3"/>
        <v>0</v>
      </c>
      <c r="J24" s="43">
        <f t="shared" si="3"/>
        <v>0</v>
      </c>
      <c r="K24" s="43">
        <f t="shared" si="3"/>
        <v>0</v>
      </c>
      <c r="L24" s="41">
        <f>SUM(I24:K24)</f>
        <v>0</v>
      </c>
    </row>
    <row r="25" spans="2:12" x14ac:dyDescent="0.4">
      <c r="B25" s="42" t="s">
        <v>49</v>
      </c>
      <c r="C25" s="41">
        <f>SUM(C22:C24)</f>
        <v>0</v>
      </c>
      <c r="D25" s="41">
        <f>SUM(D22:D24)</f>
        <v>0</v>
      </c>
      <c r="E25" s="41">
        <f>SUM(E22:E24)</f>
        <v>0</v>
      </c>
      <c r="F25" s="41">
        <f>SUM(F22:F24)</f>
        <v>0</v>
      </c>
      <c r="H25" s="42" t="s">
        <v>49</v>
      </c>
      <c r="I25" s="41">
        <f>SUM(I22:I24)</f>
        <v>0</v>
      </c>
      <c r="J25" s="41">
        <f>SUM(J22:J24)</f>
        <v>0</v>
      </c>
      <c r="K25" s="41">
        <f>SUM(K22:K24)</f>
        <v>0</v>
      </c>
      <c r="L25" s="41">
        <f>SUM(L22:L24)</f>
        <v>0</v>
      </c>
    </row>
    <row r="26" spans="2:12" x14ac:dyDescent="0.4">
      <c r="B26" s="28"/>
      <c r="C26" s="28"/>
      <c r="D26" s="28"/>
      <c r="E26" s="28"/>
      <c r="F26" s="28"/>
    </row>
    <row r="27" spans="2:12" x14ac:dyDescent="0.4">
      <c r="B27" s="415" t="s">
        <v>175</v>
      </c>
      <c r="C27" s="415"/>
      <c r="D27" s="415"/>
      <c r="E27" s="415"/>
      <c r="F27" s="415"/>
      <c r="G27" s="40"/>
      <c r="H27" s="415" t="s">
        <v>176</v>
      </c>
      <c r="I27" s="415"/>
      <c r="J27" s="415"/>
      <c r="K27" s="415"/>
      <c r="L27" s="415"/>
    </row>
    <row r="28" spans="2:12" x14ac:dyDescent="0.4">
      <c r="B28" s="28"/>
      <c r="C28" s="28"/>
      <c r="D28" s="28"/>
      <c r="E28" s="28"/>
      <c r="F28" s="28"/>
    </row>
    <row r="29" spans="2:12" x14ac:dyDescent="0.4">
      <c r="B29" s="28"/>
      <c r="C29" s="28"/>
      <c r="D29" s="28"/>
      <c r="E29" s="28"/>
      <c r="F29" s="28"/>
    </row>
    <row r="30" spans="2:12" x14ac:dyDescent="0.4">
      <c r="B30" s="28"/>
      <c r="C30" s="28"/>
      <c r="D30" s="28"/>
      <c r="E30" s="28"/>
      <c r="F30" s="28"/>
    </row>
    <row r="31" spans="2:12" x14ac:dyDescent="0.4">
      <c r="B31" s="28"/>
      <c r="C31" s="28"/>
      <c r="D31" s="28"/>
      <c r="E31" s="28"/>
      <c r="F31" s="28"/>
    </row>
    <row r="32" spans="2:12" x14ac:dyDescent="0.4">
      <c r="B32" s="28"/>
      <c r="C32" s="28"/>
      <c r="D32" s="28"/>
      <c r="E32" s="28"/>
      <c r="F32" s="28"/>
    </row>
    <row r="33" spans="2:6" x14ac:dyDescent="0.4">
      <c r="B33" s="28"/>
      <c r="C33" s="28"/>
      <c r="D33" s="28"/>
      <c r="E33" s="28"/>
      <c r="F33" s="28"/>
    </row>
    <row r="34" spans="2:6" x14ac:dyDescent="0.4">
      <c r="B34" s="28"/>
      <c r="C34" s="28"/>
      <c r="D34" s="28"/>
      <c r="E34" s="28"/>
      <c r="F34" s="28"/>
    </row>
    <row r="35" spans="2:6" x14ac:dyDescent="0.4">
      <c r="B35" s="28"/>
      <c r="C35" s="28"/>
      <c r="D35" s="28"/>
      <c r="E35" s="28"/>
      <c r="F35" s="28"/>
    </row>
    <row r="36" spans="2:6" x14ac:dyDescent="0.4">
      <c r="B36" s="28"/>
      <c r="C36" s="28"/>
      <c r="D36" s="28"/>
      <c r="E36" s="28"/>
      <c r="F36" s="28"/>
    </row>
    <row r="37" spans="2:6" x14ac:dyDescent="0.4">
      <c r="B37" s="28"/>
      <c r="C37" s="28"/>
      <c r="D37" s="28"/>
      <c r="E37" s="28"/>
      <c r="F37" s="28"/>
    </row>
    <row r="38" spans="2:6" x14ac:dyDescent="0.4">
      <c r="B38" s="28"/>
      <c r="C38" s="28"/>
      <c r="D38" s="28"/>
      <c r="E38" s="28"/>
      <c r="F38" s="28"/>
    </row>
    <row r="39" spans="2:6" x14ac:dyDescent="0.4">
      <c r="B39" s="28"/>
      <c r="C39" s="28"/>
      <c r="D39" s="28"/>
      <c r="E39" s="28"/>
      <c r="F39" s="28"/>
    </row>
    <row r="40" spans="2:6" x14ac:dyDescent="0.4">
      <c r="B40" s="28"/>
      <c r="C40" s="28"/>
      <c r="D40" s="28"/>
      <c r="E40" s="28"/>
      <c r="F40" s="28"/>
    </row>
    <row r="41" spans="2:6" x14ac:dyDescent="0.4">
      <c r="B41" s="28"/>
      <c r="C41" s="28"/>
      <c r="D41" s="28"/>
      <c r="E41" s="28"/>
      <c r="F41" s="28"/>
    </row>
    <row r="42" spans="2:6" x14ac:dyDescent="0.4">
      <c r="B42" s="28"/>
      <c r="C42" s="28"/>
      <c r="D42" s="28"/>
      <c r="E42" s="28"/>
      <c r="F42" s="28"/>
    </row>
    <row r="43" spans="2:6" x14ac:dyDescent="0.4">
      <c r="B43" s="28"/>
      <c r="C43" s="28"/>
      <c r="D43" s="28"/>
      <c r="E43" s="28"/>
      <c r="F43" s="28"/>
    </row>
    <row r="44" spans="2:6" x14ac:dyDescent="0.4">
      <c r="B44" s="28"/>
      <c r="C44" s="28"/>
      <c r="D44" s="28"/>
      <c r="E44" s="28"/>
      <c r="F44" s="28"/>
    </row>
    <row r="45" spans="2:6" x14ac:dyDescent="0.4">
      <c r="B45" s="28"/>
      <c r="C45" s="28"/>
      <c r="D45" s="28"/>
      <c r="E45" s="28"/>
      <c r="F45" s="28"/>
    </row>
    <row r="46" spans="2:6" x14ac:dyDescent="0.4">
      <c r="B46" s="28"/>
      <c r="C46" s="28"/>
      <c r="D46" s="28"/>
      <c r="E46" s="28"/>
      <c r="F46" s="28"/>
    </row>
    <row r="47" spans="2:6" x14ac:dyDescent="0.4">
      <c r="B47" s="28"/>
      <c r="C47" s="28"/>
      <c r="D47" s="28"/>
      <c r="E47" s="28"/>
      <c r="F47" s="28"/>
    </row>
    <row r="48" spans="2:6" x14ac:dyDescent="0.4">
      <c r="B48" s="28"/>
      <c r="C48" s="28"/>
      <c r="D48" s="28"/>
      <c r="E48" s="28"/>
      <c r="F48" s="28"/>
    </row>
    <row r="49" s="28" customFormat="1" x14ac:dyDescent="0.4"/>
    <row r="50" s="28" customFormat="1" x14ac:dyDescent="0.4"/>
    <row r="51" s="28" customFormat="1" x14ac:dyDescent="0.4"/>
    <row r="52" s="28" customFormat="1" x14ac:dyDescent="0.4"/>
    <row r="53" s="28" customFormat="1" x14ac:dyDescent="0.4"/>
    <row r="54" s="28" customFormat="1" x14ac:dyDescent="0.4"/>
  </sheetData>
  <mergeCells count="8">
    <mergeCell ref="B27:F27"/>
    <mergeCell ref="H27:L27"/>
    <mergeCell ref="B1:J1"/>
    <mergeCell ref="K1:L1"/>
    <mergeCell ref="B19:F19"/>
    <mergeCell ref="B4:F4"/>
    <mergeCell ref="H4:L4"/>
    <mergeCell ref="H19:L19"/>
  </mergeCells>
  <pageMargins left="0.75" right="0.75" top="1" bottom="1" header="0.5" footer="0.5"/>
  <pageSetup paperSize="9" scale="73" orientation="landscape" r:id="rId1"/>
  <headerFooter alignWithMargins="0">
    <oddHeader>&amp;L&amp;"Calibri"&amp;10&amp;K000000Official&amp;1#</oddHead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2">
    <pageSetUpPr fitToPage="1"/>
  </sheetPr>
  <dimension ref="A1:Z52"/>
  <sheetViews>
    <sheetView workbookViewId="0"/>
  </sheetViews>
  <sheetFormatPr defaultColWidth="9.1796875" defaultRowHeight="10" x14ac:dyDescent="0.2"/>
  <cols>
    <col min="1" max="7" width="5.453125" style="9" customWidth="1"/>
    <col min="8" max="8" width="2.81640625" style="9" customWidth="1"/>
    <col min="9" max="9" width="6" style="9" customWidth="1"/>
    <col min="10" max="15" width="5.453125" style="9" customWidth="1"/>
    <col min="16" max="16" width="3" style="9" customWidth="1"/>
    <col min="17" max="16384" width="9.1796875" style="9"/>
  </cols>
  <sheetData>
    <row r="1" spans="1:17" ht="13" x14ac:dyDescent="0.3">
      <c r="A1" s="8" t="s">
        <v>177</v>
      </c>
    </row>
    <row r="3" spans="1:17" ht="10.5" x14ac:dyDescent="0.25">
      <c r="A3" s="10" t="s">
        <v>178</v>
      </c>
      <c r="I3" s="10" t="s">
        <v>179</v>
      </c>
      <c r="Q3" s="10" t="s">
        <v>180</v>
      </c>
    </row>
    <row r="4" spans="1:17" ht="10.5" x14ac:dyDescent="0.25">
      <c r="A4" s="426" t="s">
        <v>89</v>
      </c>
      <c r="B4" s="428" t="s">
        <v>153</v>
      </c>
      <c r="C4" s="429"/>
      <c r="D4" s="429"/>
      <c r="E4" s="429"/>
      <c r="F4" s="429"/>
      <c r="G4" s="430"/>
      <c r="H4" s="11"/>
      <c r="I4" s="426" t="s">
        <v>89</v>
      </c>
      <c r="J4" s="428" t="s">
        <v>153</v>
      </c>
      <c r="K4" s="429"/>
      <c r="L4" s="429"/>
      <c r="M4" s="429"/>
      <c r="N4" s="429"/>
      <c r="O4" s="430"/>
      <c r="Q4" s="9" t="s">
        <v>181</v>
      </c>
    </row>
    <row r="5" spans="1:17" ht="10.5" x14ac:dyDescent="0.25">
      <c r="A5" s="427"/>
      <c r="B5" s="12">
        <v>0</v>
      </c>
      <c r="C5" s="12">
        <v>1</v>
      </c>
      <c r="D5" s="12">
        <v>2</v>
      </c>
      <c r="E5" s="12">
        <v>3</v>
      </c>
      <c r="F5" s="12">
        <v>4</v>
      </c>
      <c r="G5" s="13" t="s">
        <v>154</v>
      </c>
      <c r="H5" s="11"/>
      <c r="I5" s="427"/>
      <c r="J5" s="12">
        <v>0</v>
      </c>
      <c r="K5" s="12">
        <v>1</v>
      </c>
      <c r="L5" s="12">
        <v>2</v>
      </c>
      <c r="M5" s="12">
        <v>3</v>
      </c>
      <c r="N5" s="12">
        <v>4</v>
      </c>
      <c r="O5" s="13" t="s">
        <v>154</v>
      </c>
      <c r="Q5" s="9" t="s">
        <v>182</v>
      </c>
    </row>
    <row r="6" spans="1:17" ht="10.5" x14ac:dyDescent="0.25">
      <c r="A6" s="14" t="s">
        <v>163</v>
      </c>
      <c r="B6" s="15">
        <v>3.7174721189591076E-3</v>
      </c>
      <c r="C6" s="15">
        <v>3.7174721189591076E-3</v>
      </c>
      <c r="D6" s="15">
        <v>5.5555555555555552E-2</v>
      </c>
      <c r="E6" s="15">
        <v>0.1</v>
      </c>
      <c r="F6" s="15">
        <v>0</v>
      </c>
      <c r="G6" s="15">
        <v>0</v>
      </c>
      <c r="H6" s="11"/>
      <c r="I6" s="14" t="s">
        <v>163</v>
      </c>
      <c r="J6" s="15">
        <v>0.16666666666666666</v>
      </c>
      <c r="K6" s="15">
        <v>0.16666666666666666</v>
      </c>
      <c r="L6" s="15">
        <v>3.7499999999999999E-2</v>
      </c>
      <c r="M6" s="15">
        <v>0.2</v>
      </c>
      <c r="N6" s="15">
        <v>0.35514018691588783</v>
      </c>
      <c r="O6" s="15">
        <v>0.22222222222222221</v>
      </c>
      <c r="Q6" s="9" t="s">
        <v>183</v>
      </c>
    </row>
    <row r="7" spans="1:17" ht="10.5" x14ac:dyDescent="0.25">
      <c r="A7" s="16" t="s">
        <v>164</v>
      </c>
      <c r="B7" s="15">
        <v>0</v>
      </c>
      <c r="C7" s="15">
        <v>0</v>
      </c>
      <c r="D7" s="15">
        <v>1.3888888888888888E-2</v>
      </c>
      <c r="E7" s="15">
        <v>7.0000000000000007E-2</v>
      </c>
      <c r="F7" s="15">
        <v>0</v>
      </c>
      <c r="G7" s="15">
        <v>0</v>
      </c>
      <c r="H7" s="11"/>
      <c r="I7" s="16" t="s">
        <v>164</v>
      </c>
      <c r="J7" s="15">
        <v>0</v>
      </c>
      <c r="K7" s="15">
        <v>0</v>
      </c>
      <c r="L7" s="15">
        <v>3.7499999999999999E-2</v>
      </c>
      <c r="M7" s="15">
        <v>9.4117647058823528E-2</v>
      </c>
      <c r="N7" s="15">
        <v>0.27102803738317754</v>
      </c>
      <c r="O7" s="15">
        <v>0.1388888888888889</v>
      </c>
    </row>
    <row r="8" spans="1:17" ht="10.5" x14ac:dyDescent="0.25">
      <c r="A8" s="16" t="s">
        <v>165</v>
      </c>
      <c r="B8" s="15">
        <v>0</v>
      </c>
      <c r="C8" s="15">
        <v>0</v>
      </c>
      <c r="D8" s="15">
        <v>1.9230769230769232E-2</v>
      </c>
      <c r="E8" s="15">
        <v>0.11</v>
      </c>
      <c r="F8" s="15">
        <v>0</v>
      </c>
      <c r="G8" s="15">
        <v>0</v>
      </c>
      <c r="H8" s="11"/>
      <c r="I8" s="16" t="s">
        <v>165</v>
      </c>
      <c r="J8" s="15">
        <v>0</v>
      </c>
      <c r="K8" s="15">
        <v>0</v>
      </c>
      <c r="L8" s="15">
        <v>2.5000000000000001E-2</v>
      </c>
      <c r="M8" s="15">
        <v>0.1</v>
      </c>
      <c r="N8" s="15">
        <v>0.30841121495327101</v>
      </c>
      <c r="O8" s="15">
        <v>0.58333333333333337</v>
      </c>
    </row>
    <row r="9" spans="1:17" ht="10.5" x14ac:dyDescent="0.25">
      <c r="A9" s="16" t="s">
        <v>166</v>
      </c>
      <c r="B9" s="15">
        <v>0</v>
      </c>
      <c r="C9" s="15">
        <v>0</v>
      </c>
      <c r="D9" s="15">
        <v>6.41025641025641E-3</v>
      </c>
      <c r="E9" s="15">
        <v>0.03</v>
      </c>
      <c r="F9" s="15">
        <v>0</v>
      </c>
      <c r="G9" s="15">
        <v>0</v>
      </c>
      <c r="H9" s="11"/>
      <c r="I9" s="16" t="s">
        <v>166</v>
      </c>
      <c r="J9" s="15">
        <v>0</v>
      </c>
      <c r="K9" s="15">
        <v>0</v>
      </c>
      <c r="L9" s="15">
        <v>1.2500000000000001E-2</v>
      </c>
      <c r="M9" s="15">
        <v>4.7058823529411764E-2</v>
      </c>
      <c r="N9" s="15">
        <v>0.13084112149532709</v>
      </c>
      <c r="O9" s="15">
        <v>0.25</v>
      </c>
    </row>
    <row r="10" spans="1:17" ht="10.5" x14ac:dyDescent="0.25">
      <c r="A10" s="16" t="s">
        <v>167</v>
      </c>
      <c r="B10" s="15">
        <v>7.4349442379182153E-3</v>
      </c>
      <c r="C10" s="15">
        <v>7.4349442379182153E-3</v>
      </c>
      <c r="D10" s="15">
        <v>1.1752136752136752E-2</v>
      </c>
      <c r="E10" s="15">
        <v>0.02</v>
      </c>
      <c r="F10" s="15">
        <v>0</v>
      </c>
      <c r="G10" s="15">
        <v>0</v>
      </c>
      <c r="H10" s="11"/>
      <c r="I10" s="16" t="s">
        <v>167</v>
      </c>
      <c r="J10" s="15">
        <v>0</v>
      </c>
      <c r="K10" s="15">
        <v>0</v>
      </c>
      <c r="L10" s="15">
        <v>1.2500000000000001E-2</v>
      </c>
      <c r="M10" s="15">
        <v>1.1764705882352941E-2</v>
      </c>
      <c r="N10" s="15">
        <v>4.6728971962616821E-2</v>
      </c>
      <c r="O10" s="15">
        <v>0.22222222222222221</v>
      </c>
    </row>
    <row r="11" spans="1:17" ht="10.5" x14ac:dyDescent="0.25">
      <c r="A11" s="14" t="s">
        <v>168</v>
      </c>
      <c r="B11" s="15">
        <v>0.5985130111524164</v>
      </c>
      <c r="C11" s="15">
        <v>0.5985130111524164</v>
      </c>
      <c r="D11" s="15">
        <v>0.69978632478632474</v>
      </c>
      <c r="E11" s="15">
        <v>0.42</v>
      </c>
      <c r="F11" s="15">
        <v>1.1428571428571428</v>
      </c>
      <c r="G11" s="15">
        <v>1.1428571428571428</v>
      </c>
      <c r="H11" s="11"/>
      <c r="I11" s="14" t="s">
        <v>168</v>
      </c>
      <c r="J11" s="15">
        <v>0.5</v>
      </c>
      <c r="K11" s="15">
        <v>0.5</v>
      </c>
      <c r="L11" s="15">
        <v>0.47499999999999998</v>
      </c>
      <c r="M11" s="15">
        <v>0.37647058823529411</v>
      </c>
      <c r="N11" s="15">
        <v>0.41121495327102803</v>
      </c>
      <c r="O11" s="15">
        <v>0.75</v>
      </c>
    </row>
    <row r="12" spans="1:17" ht="10.5" x14ac:dyDescent="0.25">
      <c r="A12" s="14" t="s">
        <v>169</v>
      </c>
      <c r="B12" s="15">
        <v>0.53903345724907059</v>
      </c>
      <c r="C12" s="15">
        <v>0.53903345724907059</v>
      </c>
      <c r="D12" s="15">
        <v>0.63034188034188032</v>
      </c>
      <c r="E12" s="15">
        <v>0.56000000000000005</v>
      </c>
      <c r="F12" s="15">
        <v>0.7142857142857143</v>
      </c>
      <c r="G12" s="15">
        <v>0.7142857142857143</v>
      </c>
      <c r="H12" s="11"/>
      <c r="I12" s="14" t="s">
        <v>169</v>
      </c>
      <c r="J12" s="15">
        <v>0.5</v>
      </c>
      <c r="K12" s="15">
        <v>0.5</v>
      </c>
      <c r="L12" s="15">
        <v>0.75</v>
      </c>
      <c r="M12" s="15">
        <v>0.89411764705882357</v>
      </c>
      <c r="N12" s="15">
        <v>0.91588785046728971</v>
      </c>
      <c r="O12" s="15">
        <v>0.83333333333333337</v>
      </c>
    </row>
    <row r="13" spans="1:17" ht="10.5" x14ac:dyDescent="0.25">
      <c r="A13" s="14" t="s">
        <v>170</v>
      </c>
      <c r="B13" s="15">
        <v>0.14869888475836432</v>
      </c>
      <c r="C13" s="15">
        <v>0.14869888475836432</v>
      </c>
      <c r="D13" s="15">
        <v>0.27777777777777779</v>
      </c>
      <c r="E13" s="15">
        <v>0.61</v>
      </c>
      <c r="F13" s="15">
        <v>0.42857142857142855</v>
      </c>
      <c r="G13" s="15">
        <v>0.42857142857142855</v>
      </c>
      <c r="H13" s="11"/>
      <c r="I13" s="14" t="s">
        <v>170</v>
      </c>
      <c r="J13" s="15">
        <v>0.33333333333333331</v>
      </c>
      <c r="K13" s="15">
        <v>0.33333333333333331</v>
      </c>
      <c r="L13" s="15">
        <v>0.33750000000000002</v>
      </c>
      <c r="M13" s="15">
        <v>0.46470588235294119</v>
      </c>
      <c r="N13" s="15">
        <v>0.7009345794392523</v>
      </c>
      <c r="O13" s="15">
        <v>0.91666666666666663</v>
      </c>
    </row>
    <row r="14" spans="1:17" ht="10.5" x14ac:dyDescent="0.25">
      <c r="A14" s="14" t="s">
        <v>171</v>
      </c>
      <c r="B14" s="15">
        <v>9.6654275092936809E-2</v>
      </c>
      <c r="C14" s="15">
        <v>9.6654275092936809E-2</v>
      </c>
      <c r="D14" s="15">
        <v>8.3333333333333329E-2</v>
      </c>
      <c r="E14" s="15">
        <v>0.28000000000000003</v>
      </c>
      <c r="F14" s="15">
        <v>0.42857142857142855</v>
      </c>
      <c r="G14" s="15">
        <v>0.42857142857142855</v>
      </c>
      <c r="H14" s="11"/>
      <c r="I14" s="14" t="s">
        <v>171</v>
      </c>
      <c r="J14" s="15">
        <v>0</v>
      </c>
      <c r="K14" s="15">
        <v>0</v>
      </c>
      <c r="L14" s="15">
        <v>0.05</v>
      </c>
      <c r="M14" s="15">
        <v>0.14117647058823529</v>
      </c>
      <c r="N14" s="15">
        <v>0.13084112149532709</v>
      </c>
      <c r="O14" s="15">
        <v>2.7777777777777776E-2</v>
      </c>
    </row>
    <row r="15" spans="1:17" ht="10.5" x14ac:dyDescent="0.25">
      <c r="A15" s="17" t="s">
        <v>90</v>
      </c>
      <c r="B15" s="15">
        <v>7.4349442379182153E-3</v>
      </c>
      <c r="C15" s="15">
        <v>7.4349442379182153E-3</v>
      </c>
      <c r="D15" s="15">
        <v>1.1752136752136752E-2</v>
      </c>
      <c r="E15" s="15">
        <v>0</v>
      </c>
      <c r="F15" s="15">
        <v>0</v>
      </c>
      <c r="G15" s="15">
        <v>0</v>
      </c>
      <c r="H15" s="11"/>
      <c r="I15" s="17" t="s">
        <v>90</v>
      </c>
      <c r="J15" s="15">
        <v>0</v>
      </c>
      <c r="K15" s="15">
        <v>0</v>
      </c>
      <c r="L15" s="15">
        <v>0</v>
      </c>
      <c r="M15" s="15">
        <v>5.8823529411764705E-3</v>
      </c>
      <c r="N15" s="15">
        <v>0</v>
      </c>
      <c r="O15" s="15">
        <v>0</v>
      </c>
    </row>
    <row r="16" spans="1:17" ht="10.5" x14ac:dyDescent="0.25">
      <c r="A16" s="12" t="s">
        <v>49</v>
      </c>
      <c r="B16" s="18">
        <v>1.4014869888475838</v>
      </c>
      <c r="C16" s="18">
        <v>1.4014869888475838</v>
      </c>
      <c r="D16" s="18">
        <v>1.8098290598290598</v>
      </c>
      <c r="E16" s="18">
        <v>2.2000000000000002</v>
      </c>
      <c r="F16" s="18">
        <v>2.714285714285714</v>
      </c>
      <c r="G16" s="18">
        <v>2.714285714285714</v>
      </c>
      <c r="H16" s="11"/>
      <c r="I16" s="12" t="s">
        <v>49</v>
      </c>
      <c r="J16" s="19">
        <v>1.5</v>
      </c>
      <c r="K16" s="19">
        <v>1.5</v>
      </c>
      <c r="L16" s="19">
        <v>1.7375</v>
      </c>
      <c r="M16" s="19">
        <v>2.335294117647059</v>
      </c>
      <c r="N16" s="19">
        <v>3.2710280373831773</v>
      </c>
      <c r="O16" s="19">
        <v>3.9444444444444442</v>
      </c>
    </row>
    <row r="18" spans="1:17" ht="10.5" x14ac:dyDescent="0.25">
      <c r="A18" s="10" t="s">
        <v>184</v>
      </c>
      <c r="B18" s="11"/>
      <c r="C18" s="11"/>
      <c r="D18" s="11"/>
      <c r="E18" s="11"/>
      <c r="F18" s="11"/>
      <c r="G18" s="11"/>
      <c r="H18" s="11"/>
      <c r="I18" s="20" t="s">
        <v>185</v>
      </c>
      <c r="J18" s="11"/>
      <c r="K18" s="11"/>
      <c r="L18" s="11"/>
      <c r="M18" s="11"/>
      <c r="N18" s="11"/>
      <c r="O18" s="11"/>
      <c r="Q18" s="10" t="s">
        <v>186</v>
      </c>
    </row>
    <row r="19" spans="1:17" ht="10.5" x14ac:dyDescent="0.25">
      <c r="A19" s="422" t="s">
        <v>89</v>
      </c>
      <c r="B19" s="419" t="s">
        <v>153</v>
      </c>
      <c r="C19" s="420"/>
      <c r="D19" s="420"/>
      <c r="E19" s="420"/>
      <c r="F19" s="420"/>
      <c r="G19" s="421"/>
      <c r="I19" s="422" t="s">
        <v>89</v>
      </c>
      <c r="J19" s="419" t="s">
        <v>153</v>
      </c>
      <c r="K19" s="420"/>
      <c r="L19" s="420"/>
      <c r="M19" s="420"/>
      <c r="N19" s="420"/>
      <c r="O19" s="421"/>
      <c r="Q19" s="9" t="s">
        <v>181</v>
      </c>
    </row>
    <row r="20" spans="1:17" ht="10.5" x14ac:dyDescent="0.25">
      <c r="A20" s="423"/>
      <c r="B20" s="12">
        <v>0</v>
      </c>
      <c r="C20" s="12">
        <v>1</v>
      </c>
      <c r="D20" s="12">
        <v>2</v>
      </c>
      <c r="E20" s="12">
        <v>3</v>
      </c>
      <c r="F20" s="12">
        <v>4</v>
      </c>
      <c r="G20" s="13" t="s">
        <v>154</v>
      </c>
      <c r="I20" s="423"/>
      <c r="J20" s="12">
        <v>0</v>
      </c>
      <c r="K20" s="12">
        <v>1</v>
      </c>
      <c r="L20" s="12">
        <v>2</v>
      </c>
      <c r="M20" s="12">
        <v>3</v>
      </c>
      <c r="N20" s="12">
        <v>4</v>
      </c>
      <c r="O20" s="13" t="s">
        <v>154</v>
      </c>
      <c r="Q20" s="9" t="s">
        <v>187</v>
      </c>
    </row>
    <row r="21" spans="1:17" ht="10.5" x14ac:dyDescent="0.25">
      <c r="A21" s="21" t="s">
        <v>163</v>
      </c>
      <c r="B21" s="15">
        <v>0</v>
      </c>
      <c r="C21" s="15">
        <v>0</v>
      </c>
      <c r="D21" s="15">
        <v>0.14285714285714285</v>
      </c>
      <c r="E21" s="15">
        <v>0.14285714285714285</v>
      </c>
      <c r="F21" s="15">
        <v>0.22222222222222221</v>
      </c>
      <c r="G21" s="15">
        <v>0.22222222222222221</v>
      </c>
      <c r="I21" s="21" t="s">
        <v>163</v>
      </c>
      <c r="J21" s="15">
        <v>0</v>
      </c>
      <c r="K21" s="15">
        <v>0</v>
      </c>
      <c r="L21" s="15">
        <v>9.0909090909090912E-2</v>
      </c>
      <c r="M21" s="15">
        <v>0.22222222222222221</v>
      </c>
      <c r="N21" s="15">
        <v>0.22222222222222221</v>
      </c>
      <c r="O21" s="15">
        <v>0.22222222222222221</v>
      </c>
      <c r="Q21" s="9" t="s">
        <v>188</v>
      </c>
    </row>
    <row r="22" spans="1:17" ht="10.5" x14ac:dyDescent="0.25">
      <c r="A22" s="22" t="s">
        <v>164</v>
      </c>
      <c r="B22" s="15">
        <v>0</v>
      </c>
      <c r="C22" s="15">
        <v>0</v>
      </c>
      <c r="D22" s="15">
        <v>9.5238095238095233E-2</v>
      </c>
      <c r="E22" s="15">
        <v>9.5238095238095233E-2</v>
      </c>
      <c r="F22" s="15">
        <v>0.33333333333333331</v>
      </c>
      <c r="G22" s="15">
        <v>0.33333333333333331</v>
      </c>
      <c r="I22" s="22" t="s">
        <v>164</v>
      </c>
      <c r="J22" s="15">
        <v>0</v>
      </c>
      <c r="K22" s="15">
        <v>0</v>
      </c>
      <c r="L22" s="15">
        <v>0</v>
      </c>
      <c r="M22" s="15">
        <v>0.33333333333333331</v>
      </c>
      <c r="N22" s="15">
        <v>0.33333333333333331</v>
      </c>
      <c r="O22" s="15">
        <v>0.33333333333333331</v>
      </c>
      <c r="Q22" s="9" t="s">
        <v>189</v>
      </c>
    </row>
    <row r="23" spans="1:17" ht="10.5" x14ac:dyDescent="0.25">
      <c r="A23" s="22" t="s">
        <v>165</v>
      </c>
      <c r="B23" s="15">
        <v>0</v>
      </c>
      <c r="C23" s="15">
        <v>0</v>
      </c>
      <c r="D23" s="15">
        <v>2.3809523809523808E-2</v>
      </c>
      <c r="E23" s="15">
        <v>2.3809523809523808E-2</v>
      </c>
      <c r="F23" s="15">
        <v>0.1111111111111111</v>
      </c>
      <c r="G23" s="15">
        <v>0.1111111111111111</v>
      </c>
      <c r="I23" s="22" t="s">
        <v>165</v>
      </c>
      <c r="J23" s="15">
        <v>0</v>
      </c>
      <c r="K23" s="15">
        <v>0</v>
      </c>
      <c r="L23" s="15">
        <v>0.18181818181818182</v>
      </c>
      <c r="M23" s="15">
        <v>0.1111111111111111</v>
      </c>
      <c r="N23" s="15">
        <v>0.1111111111111111</v>
      </c>
      <c r="O23" s="15">
        <v>0.1111111111111111</v>
      </c>
      <c r="Q23" s="9" t="s">
        <v>190</v>
      </c>
    </row>
    <row r="24" spans="1:17" ht="10.5" x14ac:dyDescent="0.25">
      <c r="A24" s="22" t="s">
        <v>166</v>
      </c>
      <c r="B24" s="15">
        <v>0</v>
      </c>
      <c r="C24" s="15">
        <v>0</v>
      </c>
      <c r="D24" s="15">
        <v>7.1428571428571425E-2</v>
      </c>
      <c r="E24" s="15">
        <v>7.1428571428571425E-2</v>
      </c>
      <c r="F24" s="15">
        <v>0.33333333333333331</v>
      </c>
      <c r="G24" s="15">
        <v>0.33333333333333331</v>
      </c>
      <c r="I24" s="22" t="s">
        <v>166</v>
      </c>
      <c r="J24" s="15">
        <v>0</v>
      </c>
      <c r="K24" s="15">
        <v>0</v>
      </c>
      <c r="L24" s="15">
        <v>0.27272727272727271</v>
      </c>
      <c r="M24" s="15">
        <v>0.33333333333333331</v>
      </c>
      <c r="N24" s="15">
        <v>0.33333333333333331</v>
      </c>
      <c r="O24" s="15">
        <v>0.33333333333333331</v>
      </c>
      <c r="Q24" s="9" t="s">
        <v>191</v>
      </c>
    </row>
    <row r="25" spans="1:17" ht="10.5" x14ac:dyDescent="0.25">
      <c r="A25" s="22" t="s">
        <v>167</v>
      </c>
      <c r="B25" s="15">
        <v>0</v>
      </c>
      <c r="C25" s="15">
        <v>0</v>
      </c>
      <c r="D25" s="15">
        <v>2.3809523809523808E-2</v>
      </c>
      <c r="E25" s="15">
        <v>2.3809523809523808E-2</v>
      </c>
      <c r="F25" s="15">
        <v>0.22222222222222221</v>
      </c>
      <c r="G25" s="15">
        <v>0.22222222222222221</v>
      </c>
      <c r="I25" s="22" t="s">
        <v>167</v>
      </c>
      <c r="J25" s="15">
        <v>0</v>
      </c>
      <c r="K25" s="15">
        <v>0</v>
      </c>
      <c r="L25" s="15">
        <v>0</v>
      </c>
      <c r="M25" s="15">
        <v>0.22222222222222221</v>
      </c>
      <c r="N25" s="15">
        <v>0.22222222222222221</v>
      </c>
      <c r="O25" s="15">
        <v>0.22222222222222221</v>
      </c>
    </row>
    <row r="26" spans="1:17" ht="10.5" x14ac:dyDescent="0.25">
      <c r="A26" s="21" t="s">
        <v>168</v>
      </c>
      <c r="B26" s="15">
        <v>0.25</v>
      </c>
      <c r="C26" s="15">
        <v>0.25</v>
      </c>
      <c r="D26" s="15">
        <v>0.5714285714285714</v>
      </c>
      <c r="E26" s="15">
        <v>0.5714285714285714</v>
      </c>
      <c r="F26" s="15">
        <v>0.77777777777777779</v>
      </c>
      <c r="G26" s="15">
        <v>0.77777777777777779</v>
      </c>
      <c r="I26" s="21" t="s">
        <v>168</v>
      </c>
      <c r="J26" s="15">
        <v>0.25</v>
      </c>
      <c r="K26" s="15">
        <v>0.25</v>
      </c>
      <c r="L26" s="15">
        <v>0.18181818181818182</v>
      </c>
      <c r="M26" s="15">
        <v>0.77777777777777779</v>
      </c>
      <c r="N26" s="15">
        <v>0.77777777777777779</v>
      </c>
      <c r="O26" s="15">
        <v>0.77777777777777779</v>
      </c>
    </row>
    <row r="27" spans="1:17" ht="10.5" x14ac:dyDescent="0.25">
      <c r="A27" s="21" t="s">
        <v>169</v>
      </c>
      <c r="B27" s="15">
        <v>0.65</v>
      </c>
      <c r="C27" s="15">
        <v>0.65</v>
      </c>
      <c r="D27" s="15">
        <v>0.7142857142857143</v>
      </c>
      <c r="E27" s="15">
        <v>0.7142857142857143</v>
      </c>
      <c r="F27" s="15">
        <v>0.77777777777777779</v>
      </c>
      <c r="G27" s="15">
        <v>0.77777777777777779</v>
      </c>
      <c r="I27" s="21" t="s">
        <v>169</v>
      </c>
      <c r="J27" s="15">
        <v>0.65</v>
      </c>
      <c r="K27" s="15">
        <v>0.65</v>
      </c>
      <c r="L27" s="15">
        <v>0.90909090909090906</v>
      </c>
      <c r="M27" s="15">
        <v>0.77777777777777779</v>
      </c>
      <c r="N27" s="15">
        <v>0.77777777777777779</v>
      </c>
      <c r="O27" s="15">
        <v>0.77777777777777779</v>
      </c>
    </row>
    <row r="28" spans="1:17" ht="10.5" x14ac:dyDescent="0.25">
      <c r="A28" s="21" t="s">
        <v>170</v>
      </c>
      <c r="B28" s="15">
        <v>0.25</v>
      </c>
      <c r="C28" s="15">
        <v>0.25</v>
      </c>
      <c r="D28" s="15">
        <v>0.21428571428571427</v>
      </c>
      <c r="E28" s="15">
        <v>0.21428571428571427</v>
      </c>
      <c r="F28" s="15">
        <v>0.77777777777777779</v>
      </c>
      <c r="G28" s="15">
        <v>0.77777777777777779</v>
      </c>
      <c r="I28" s="21" t="s">
        <v>170</v>
      </c>
      <c r="J28" s="15">
        <v>0.25</v>
      </c>
      <c r="K28" s="15">
        <v>0.25</v>
      </c>
      <c r="L28" s="15">
        <v>0.45454545454545453</v>
      </c>
      <c r="M28" s="15">
        <v>0.77777777777777779</v>
      </c>
      <c r="N28" s="15">
        <v>0.77777777777777779</v>
      </c>
      <c r="O28" s="15">
        <v>0.77777777777777779</v>
      </c>
    </row>
    <row r="29" spans="1:17" ht="10.5" x14ac:dyDescent="0.25">
      <c r="A29" s="21" t="s">
        <v>171</v>
      </c>
      <c r="B29" s="15">
        <v>0</v>
      </c>
      <c r="C29" s="15">
        <v>0</v>
      </c>
      <c r="D29" s="15">
        <v>2.3809523809523808E-2</v>
      </c>
      <c r="E29" s="15">
        <v>2.3809523809523808E-2</v>
      </c>
      <c r="F29" s="15">
        <v>0.1111111111111111</v>
      </c>
      <c r="G29" s="15">
        <v>0.1111111111111111</v>
      </c>
      <c r="I29" s="21" t="s">
        <v>171</v>
      </c>
      <c r="J29" s="15">
        <v>0</v>
      </c>
      <c r="K29" s="15">
        <v>0</v>
      </c>
      <c r="L29" s="15">
        <v>0.18181818181818182</v>
      </c>
      <c r="M29" s="15">
        <v>0.1111111111111111</v>
      </c>
      <c r="N29" s="15">
        <v>0.1111111111111111</v>
      </c>
      <c r="O29" s="15">
        <v>0.1111111111111111</v>
      </c>
    </row>
    <row r="30" spans="1:17" ht="10.5" x14ac:dyDescent="0.25">
      <c r="A30" s="23" t="s">
        <v>90</v>
      </c>
      <c r="B30" s="15">
        <v>0</v>
      </c>
      <c r="C30" s="15">
        <v>0</v>
      </c>
      <c r="D30" s="15">
        <v>0</v>
      </c>
      <c r="E30" s="15">
        <v>0</v>
      </c>
      <c r="F30" s="15">
        <v>0</v>
      </c>
      <c r="G30" s="15">
        <v>0</v>
      </c>
      <c r="I30" s="23" t="s">
        <v>90</v>
      </c>
      <c r="J30" s="15">
        <v>0</v>
      </c>
      <c r="K30" s="15">
        <v>0</v>
      </c>
      <c r="L30" s="15">
        <v>0</v>
      </c>
      <c r="M30" s="15">
        <v>0</v>
      </c>
      <c r="N30" s="15">
        <v>0</v>
      </c>
      <c r="O30" s="15">
        <v>0</v>
      </c>
    </row>
    <row r="31" spans="1:17" ht="10.5" x14ac:dyDescent="0.25">
      <c r="A31" s="24" t="s">
        <v>49</v>
      </c>
      <c r="B31" s="25">
        <v>1.1499999999999999</v>
      </c>
      <c r="C31" s="25">
        <v>1.1499999999999999</v>
      </c>
      <c r="D31" s="25">
        <v>1.8809523809523807</v>
      </c>
      <c r="E31" s="25">
        <v>1.8809523809523807</v>
      </c>
      <c r="F31" s="18">
        <v>3.6666666666666665</v>
      </c>
      <c r="G31" s="18">
        <v>3.6666666666666665</v>
      </c>
      <c r="I31" s="24" t="s">
        <v>49</v>
      </c>
      <c r="J31" s="25">
        <v>1.1499999999999999</v>
      </c>
      <c r="K31" s="25">
        <v>1.1499999999999999</v>
      </c>
      <c r="L31" s="18">
        <v>2.2727272727272725</v>
      </c>
      <c r="M31" s="18">
        <v>3.6666666666666665</v>
      </c>
      <c r="N31" s="18">
        <v>3.6666666666666665</v>
      </c>
      <c r="O31" s="18">
        <v>3.6666666666666665</v>
      </c>
    </row>
    <row r="33" spans="1:26" ht="10.5" x14ac:dyDescent="0.25">
      <c r="A33" s="10" t="s">
        <v>192</v>
      </c>
      <c r="B33" s="11"/>
      <c r="C33" s="11"/>
      <c r="D33" s="11"/>
      <c r="E33" s="11"/>
      <c r="F33" s="11"/>
      <c r="G33" s="11"/>
      <c r="H33" s="11"/>
      <c r="I33" s="20" t="s">
        <v>193</v>
      </c>
      <c r="J33" s="11"/>
      <c r="K33" s="11"/>
      <c r="L33" s="11"/>
      <c r="M33" s="11"/>
      <c r="N33" s="11"/>
      <c r="O33" s="11"/>
      <c r="Q33" s="10" t="s">
        <v>194</v>
      </c>
    </row>
    <row r="34" spans="1:26" ht="10.5" x14ac:dyDescent="0.25">
      <c r="A34" s="422" t="s">
        <v>89</v>
      </c>
      <c r="B34" s="419" t="s">
        <v>153</v>
      </c>
      <c r="C34" s="420"/>
      <c r="D34" s="420"/>
      <c r="E34" s="420"/>
      <c r="F34" s="420"/>
      <c r="G34" s="421"/>
      <c r="I34" s="422" t="s">
        <v>89</v>
      </c>
      <c r="J34" s="419" t="s">
        <v>153</v>
      </c>
      <c r="K34" s="420"/>
      <c r="L34" s="420"/>
      <c r="M34" s="420"/>
      <c r="N34" s="420"/>
      <c r="O34" s="421"/>
      <c r="Q34" s="9" t="s">
        <v>181</v>
      </c>
    </row>
    <row r="35" spans="1:26" ht="10.5" x14ac:dyDescent="0.25">
      <c r="A35" s="423"/>
      <c r="B35" s="12">
        <v>0</v>
      </c>
      <c r="C35" s="24">
        <v>1</v>
      </c>
      <c r="D35" s="12">
        <v>2</v>
      </c>
      <c r="E35" s="12">
        <v>3</v>
      </c>
      <c r="F35" s="12">
        <v>4</v>
      </c>
      <c r="G35" s="13" t="s">
        <v>154</v>
      </c>
      <c r="I35" s="423"/>
      <c r="J35" s="12">
        <v>0</v>
      </c>
      <c r="K35" s="12">
        <v>1</v>
      </c>
      <c r="L35" s="12">
        <v>2</v>
      </c>
      <c r="M35" s="24">
        <v>3</v>
      </c>
      <c r="N35" s="24">
        <v>4</v>
      </c>
      <c r="O35" s="49" t="s">
        <v>154</v>
      </c>
      <c r="Q35" s="9" t="s">
        <v>187</v>
      </c>
    </row>
    <row r="36" spans="1:26" ht="10.5" x14ac:dyDescent="0.25">
      <c r="A36" s="21" t="s">
        <v>163</v>
      </c>
      <c r="B36" s="15">
        <v>8.8888888888888892E-2</v>
      </c>
      <c r="C36" s="15">
        <v>8.8888888888888892E-2</v>
      </c>
      <c r="D36" s="15">
        <v>0.21621621621621623</v>
      </c>
      <c r="E36" s="15">
        <v>0.21621621621621623</v>
      </c>
      <c r="F36" s="15">
        <v>0.15</v>
      </c>
      <c r="G36" s="15">
        <v>0.15</v>
      </c>
      <c r="I36" s="21" t="s">
        <v>163</v>
      </c>
      <c r="J36" s="15">
        <v>8.8888888888888892E-2</v>
      </c>
      <c r="K36" s="15">
        <v>8.8888888888888892E-2</v>
      </c>
      <c r="L36" s="15">
        <v>0.21621621621621623</v>
      </c>
      <c r="M36" s="15">
        <v>0.15</v>
      </c>
      <c r="N36" s="15">
        <v>0</v>
      </c>
      <c r="O36" s="15">
        <v>0</v>
      </c>
      <c r="Q36" s="9" t="s">
        <v>188</v>
      </c>
    </row>
    <row r="37" spans="1:26" ht="10.5" x14ac:dyDescent="0.25">
      <c r="A37" s="22" t="s">
        <v>164</v>
      </c>
      <c r="B37" s="15">
        <v>0</v>
      </c>
      <c r="C37" s="15">
        <v>0</v>
      </c>
      <c r="D37" s="15">
        <v>0.10810810810810811</v>
      </c>
      <c r="E37" s="15">
        <v>0.10810810810810811</v>
      </c>
      <c r="F37" s="15">
        <v>0.32500000000000001</v>
      </c>
      <c r="G37" s="15">
        <v>0.32500000000000001</v>
      </c>
      <c r="I37" s="22" t="s">
        <v>164</v>
      </c>
      <c r="J37" s="15">
        <v>0</v>
      </c>
      <c r="K37" s="15">
        <v>0</v>
      </c>
      <c r="L37" s="15">
        <v>0.10810810810810811</v>
      </c>
      <c r="M37" s="15">
        <v>0.32500000000000001</v>
      </c>
      <c r="N37" s="15">
        <v>0</v>
      </c>
      <c r="O37" s="15">
        <v>0</v>
      </c>
      <c r="Q37" s="9" t="s">
        <v>189</v>
      </c>
    </row>
    <row r="38" spans="1:26" ht="10.5" x14ac:dyDescent="0.25">
      <c r="A38" s="22" t="s">
        <v>165</v>
      </c>
      <c r="B38" s="15">
        <v>0</v>
      </c>
      <c r="C38" s="15">
        <v>0</v>
      </c>
      <c r="D38" s="15">
        <v>0.1891891891891892</v>
      </c>
      <c r="E38" s="15">
        <v>0.1891891891891892</v>
      </c>
      <c r="F38" s="15">
        <v>1.0249999999999999</v>
      </c>
      <c r="G38" s="15">
        <v>1.0249999999999999</v>
      </c>
      <c r="I38" s="22" t="s">
        <v>165</v>
      </c>
      <c r="J38" s="15">
        <v>0</v>
      </c>
      <c r="K38" s="15">
        <v>0</v>
      </c>
      <c r="L38" s="15">
        <v>0.1891891891891892</v>
      </c>
      <c r="M38" s="15">
        <v>1.0249999999999999</v>
      </c>
      <c r="N38" s="15">
        <v>0.6470588235294118</v>
      </c>
      <c r="O38" s="15">
        <v>0.6470588235294118</v>
      </c>
      <c r="Q38" s="9" t="s">
        <v>190</v>
      </c>
    </row>
    <row r="39" spans="1:26" ht="10.5" x14ac:dyDescent="0.25">
      <c r="A39" s="22" t="s">
        <v>166</v>
      </c>
      <c r="B39" s="15">
        <v>0</v>
      </c>
      <c r="C39" s="15">
        <v>0</v>
      </c>
      <c r="D39" s="15">
        <v>8.1081081081081086E-2</v>
      </c>
      <c r="E39" s="15">
        <v>8.1081081081081086E-2</v>
      </c>
      <c r="F39" s="15">
        <v>0.6</v>
      </c>
      <c r="G39" s="15">
        <v>0.6</v>
      </c>
      <c r="I39" s="22" t="s">
        <v>166</v>
      </c>
      <c r="J39" s="15">
        <v>0</v>
      </c>
      <c r="K39" s="15">
        <v>0</v>
      </c>
      <c r="L39" s="15">
        <v>8.1081081081081086E-2</v>
      </c>
      <c r="M39" s="15">
        <v>0.6</v>
      </c>
      <c r="N39" s="15">
        <v>0.35294117647058826</v>
      </c>
      <c r="O39" s="15">
        <v>0.35294117647058826</v>
      </c>
      <c r="Q39" s="9" t="s">
        <v>195</v>
      </c>
    </row>
    <row r="40" spans="1:26" ht="10.5" x14ac:dyDescent="0.25">
      <c r="A40" s="22" t="s">
        <v>167</v>
      </c>
      <c r="B40" s="15">
        <v>2.2222222222222223E-2</v>
      </c>
      <c r="C40" s="15">
        <v>2.2222222222222223E-2</v>
      </c>
      <c r="D40" s="15">
        <v>0.21621621621621623</v>
      </c>
      <c r="E40" s="15">
        <v>0.21621621621621623</v>
      </c>
      <c r="F40" s="15">
        <v>0.25</v>
      </c>
      <c r="G40" s="15">
        <v>0.25</v>
      </c>
      <c r="I40" s="22" t="s">
        <v>167</v>
      </c>
      <c r="J40" s="15">
        <v>2.2222222222222223E-2</v>
      </c>
      <c r="K40" s="15">
        <v>2.2222222222222223E-2</v>
      </c>
      <c r="L40" s="15">
        <v>0.21621621621621623</v>
      </c>
      <c r="M40" s="15">
        <v>0.25</v>
      </c>
      <c r="N40" s="15">
        <v>0.47058823529411764</v>
      </c>
      <c r="O40" s="15">
        <v>0.47058823529411764</v>
      </c>
      <c r="Q40" s="9" t="s">
        <v>196</v>
      </c>
    </row>
    <row r="41" spans="1:26" ht="10.5" x14ac:dyDescent="0.25">
      <c r="A41" s="21" t="s">
        <v>168</v>
      </c>
      <c r="B41" s="15">
        <v>0.35555555555555557</v>
      </c>
      <c r="C41" s="15">
        <v>0.35555555555555557</v>
      </c>
      <c r="D41" s="15">
        <v>0.81081081081081086</v>
      </c>
      <c r="E41" s="15">
        <v>0.81081081081081086</v>
      </c>
      <c r="F41" s="15">
        <v>0.375</v>
      </c>
      <c r="G41" s="15">
        <v>0.375</v>
      </c>
      <c r="I41" s="21" t="s">
        <v>168</v>
      </c>
      <c r="J41" s="15">
        <v>0.35555555555555557</v>
      </c>
      <c r="K41" s="15">
        <v>0.35555555555555557</v>
      </c>
      <c r="L41" s="15">
        <v>0.81081081081081086</v>
      </c>
      <c r="M41" s="15">
        <v>0.375</v>
      </c>
      <c r="N41" s="15">
        <v>0.76470588235294112</v>
      </c>
      <c r="O41" s="15">
        <v>0.76470588235294112</v>
      </c>
    </row>
    <row r="42" spans="1:26" ht="10.5" x14ac:dyDescent="0.25">
      <c r="A42" s="21" t="s">
        <v>169</v>
      </c>
      <c r="B42" s="15">
        <v>0.35555555555555557</v>
      </c>
      <c r="C42" s="15">
        <v>0.35555555555555557</v>
      </c>
      <c r="D42" s="15">
        <v>0.51351351351351349</v>
      </c>
      <c r="E42" s="15">
        <v>0.51351351351351349</v>
      </c>
      <c r="F42" s="15">
        <v>0.6</v>
      </c>
      <c r="G42" s="15">
        <v>0.6</v>
      </c>
      <c r="I42" s="21" t="s">
        <v>169</v>
      </c>
      <c r="J42" s="15">
        <v>0.35555555555555557</v>
      </c>
      <c r="K42" s="15">
        <v>0.35555555555555557</v>
      </c>
      <c r="L42" s="15">
        <v>0.51351351351351349</v>
      </c>
      <c r="M42" s="15">
        <v>0.6</v>
      </c>
      <c r="N42" s="15">
        <v>0.70588235294117652</v>
      </c>
      <c r="O42" s="15">
        <v>0.70588235294117652</v>
      </c>
    </row>
    <row r="43" spans="1:26" ht="10.5" x14ac:dyDescent="0.25">
      <c r="A43" s="21" t="s">
        <v>170</v>
      </c>
      <c r="B43" s="15">
        <v>0.31111111111111112</v>
      </c>
      <c r="C43" s="15">
        <v>0.31111111111111112</v>
      </c>
      <c r="D43" s="15">
        <v>0.21621621621621623</v>
      </c>
      <c r="E43" s="15">
        <v>0.21621621621621623</v>
      </c>
      <c r="F43" s="15">
        <v>0.67500000000000004</v>
      </c>
      <c r="G43" s="15">
        <v>0.67500000000000004</v>
      </c>
      <c r="I43" s="21" t="s">
        <v>170</v>
      </c>
      <c r="J43" s="15">
        <v>0.31111111111111112</v>
      </c>
      <c r="K43" s="15">
        <v>0.31111111111111112</v>
      </c>
      <c r="L43" s="15">
        <v>0.21621621621621623</v>
      </c>
      <c r="M43" s="15">
        <v>0.67500000000000004</v>
      </c>
      <c r="N43" s="15">
        <v>1.0588235294117647</v>
      </c>
      <c r="O43" s="15">
        <v>1.0588235294117647</v>
      </c>
    </row>
    <row r="44" spans="1:26" ht="10.5" x14ac:dyDescent="0.25">
      <c r="A44" s="21" t="s">
        <v>171</v>
      </c>
      <c r="B44" s="15">
        <v>0.24444444444444444</v>
      </c>
      <c r="C44" s="15">
        <v>0.24444444444444444</v>
      </c>
      <c r="D44" s="15">
        <v>2.7027027027027029E-2</v>
      </c>
      <c r="E44" s="15">
        <v>2.7027027027027029E-2</v>
      </c>
      <c r="F44" s="15">
        <v>7.4999999999999997E-2</v>
      </c>
      <c r="G44" s="15">
        <v>7.4999999999999997E-2</v>
      </c>
      <c r="I44" s="21" t="s">
        <v>171</v>
      </c>
      <c r="J44" s="15">
        <v>0.24444444444444444</v>
      </c>
      <c r="K44" s="15">
        <v>0.24444444444444444</v>
      </c>
      <c r="L44" s="15">
        <v>2.7027027027027029E-2</v>
      </c>
      <c r="M44" s="15">
        <v>7.4999999999999997E-2</v>
      </c>
      <c r="N44" s="15">
        <v>5.8823529411764705E-2</v>
      </c>
      <c r="O44" s="15">
        <v>5.8823529411764705E-2</v>
      </c>
    </row>
    <row r="45" spans="1:26" ht="10.5" x14ac:dyDescent="0.25">
      <c r="A45" s="23" t="s">
        <v>90</v>
      </c>
      <c r="B45" s="15">
        <v>0</v>
      </c>
      <c r="C45" s="15">
        <v>0</v>
      </c>
      <c r="D45" s="15">
        <v>0</v>
      </c>
      <c r="E45" s="15">
        <v>0</v>
      </c>
      <c r="F45" s="15">
        <v>0</v>
      </c>
      <c r="G45" s="15">
        <v>0</v>
      </c>
      <c r="I45" s="23" t="s">
        <v>90</v>
      </c>
      <c r="J45" s="15">
        <v>0</v>
      </c>
      <c r="K45" s="15">
        <v>0</v>
      </c>
      <c r="L45" s="15">
        <v>0</v>
      </c>
      <c r="M45" s="15">
        <v>0</v>
      </c>
      <c r="N45" s="15">
        <v>0</v>
      </c>
      <c r="O45" s="15">
        <v>0</v>
      </c>
    </row>
    <row r="46" spans="1:26" ht="10.5" x14ac:dyDescent="0.25">
      <c r="A46" s="24" t="s">
        <v>49</v>
      </c>
      <c r="B46" s="25">
        <v>1.3777777777777778</v>
      </c>
      <c r="C46" s="25">
        <v>1.3777777777777778</v>
      </c>
      <c r="D46" s="25">
        <v>2.378378378378379</v>
      </c>
      <c r="E46" s="25">
        <v>2.378378378378379</v>
      </c>
      <c r="F46" s="25">
        <v>4.0750000000000002</v>
      </c>
      <c r="G46" s="25">
        <v>4.0750000000000002</v>
      </c>
      <c r="I46" s="24" t="s">
        <v>49</v>
      </c>
      <c r="J46" s="25">
        <v>1.3777777777777778</v>
      </c>
      <c r="K46" s="25">
        <v>1.3777777777777778</v>
      </c>
      <c r="L46" s="25">
        <v>2.378378378378379</v>
      </c>
      <c r="M46" s="25">
        <v>4.0750000000000002</v>
      </c>
      <c r="N46" s="25">
        <v>4.0588235294117645</v>
      </c>
      <c r="O46" s="25">
        <v>4.0588235294117645</v>
      </c>
    </row>
    <row r="48" spans="1:26" x14ac:dyDescent="0.2">
      <c r="A48" s="418" t="s">
        <v>197</v>
      </c>
      <c r="B48" s="418"/>
      <c r="C48" s="418"/>
      <c r="D48" s="418"/>
      <c r="E48" s="418"/>
      <c r="F48" s="418"/>
      <c r="G48" s="418"/>
      <c r="H48" s="418"/>
      <c r="I48" s="418"/>
      <c r="J48" s="418"/>
      <c r="K48" s="418"/>
      <c r="L48" s="418"/>
      <c r="M48" s="418"/>
      <c r="N48" s="418"/>
      <c r="O48" s="418"/>
      <c r="P48" s="418"/>
      <c r="Q48" s="418"/>
      <c r="R48" s="418"/>
      <c r="S48" s="418"/>
      <c r="T48" s="418"/>
      <c r="U48" s="418"/>
      <c r="V48" s="418"/>
      <c r="W48" s="418"/>
      <c r="X48" s="418"/>
      <c r="Y48" s="418"/>
      <c r="Z48" s="418"/>
    </row>
    <row r="49" spans="1:26" ht="10.5" x14ac:dyDescent="0.25">
      <c r="A49" s="424" t="s">
        <v>198</v>
      </c>
      <c r="B49" s="424"/>
      <c r="C49" s="424"/>
      <c r="D49" s="424"/>
      <c r="E49" s="424"/>
      <c r="F49" s="424"/>
      <c r="G49" s="424"/>
      <c r="H49" s="424"/>
      <c r="I49" s="424"/>
      <c r="J49" s="424"/>
      <c r="K49" s="424"/>
      <c r="L49" s="424"/>
      <c r="M49" s="424"/>
      <c r="N49" s="424"/>
      <c r="O49" s="424"/>
      <c r="P49" s="424"/>
      <c r="Q49" s="424"/>
      <c r="R49" s="424"/>
      <c r="S49" s="424"/>
      <c r="T49" s="424"/>
      <c r="U49" s="424"/>
      <c r="V49" s="424"/>
      <c r="W49" s="424"/>
      <c r="X49" s="424"/>
      <c r="Y49" s="424"/>
      <c r="Z49" s="424"/>
    </row>
    <row r="50" spans="1:26" x14ac:dyDescent="0.2">
      <c r="A50" s="425" t="s">
        <v>199</v>
      </c>
      <c r="B50" s="425"/>
      <c r="C50" s="425"/>
      <c r="D50" s="425"/>
      <c r="E50" s="425"/>
      <c r="F50" s="425"/>
      <c r="G50" s="425"/>
      <c r="H50" s="425"/>
      <c r="I50" s="425"/>
      <c r="J50" s="425"/>
      <c r="K50" s="425"/>
      <c r="L50" s="425"/>
      <c r="M50" s="425"/>
      <c r="N50" s="425"/>
      <c r="O50" s="425"/>
      <c r="P50" s="425"/>
      <c r="Q50" s="425"/>
      <c r="R50" s="425"/>
      <c r="S50" s="425"/>
      <c r="T50" s="425"/>
      <c r="U50" s="425"/>
      <c r="V50" s="425"/>
      <c r="W50" s="425"/>
      <c r="X50" s="425"/>
      <c r="Y50" s="425"/>
      <c r="Z50" s="425"/>
    </row>
    <row r="51" spans="1:26" x14ac:dyDescent="0.2">
      <c r="A51" s="418" t="s">
        <v>200</v>
      </c>
      <c r="B51" s="418"/>
      <c r="C51" s="418"/>
      <c r="D51" s="418"/>
      <c r="E51" s="418"/>
      <c r="F51" s="418"/>
      <c r="G51" s="418"/>
      <c r="H51" s="418"/>
      <c r="I51" s="418"/>
      <c r="J51" s="418"/>
      <c r="K51" s="418"/>
      <c r="L51" s="418"/>
      <c r="M51" s="418"/>
      <c r="N51" s="418"/>
      <c r="O51" s="418"/>
      <c r="P51" s="418"/>
      <c r="Q51" s="418"/>
      <c r="R51" s="418"/>
      <c r="S51" s="418"/>
      <c r="T51" s="418"/>
      <c r="U51" s="418"/>
      <c r="V51" s="418"/>
      <c r="W51" s="418"/>
      <c r="X51" s="418"/>
      <c r="Y51" s="418"/>
      <c r="Z51" s="418"/>
    </row>
    <row r="52" spans="1:26" x14ac:dyDescent="0.2">
      <c r="A52" s="418" t="s">
        <v>201</v>
      </c>
      <c r="B52" s="418"/>
      <c r="C52" s="418"/>
      <c r="D52" s="418"/>
      <c r="E52" s="418"/>
      <c r="F52" s="418"/>
      <c r="G52" s="418"/>
      <c r="H52" s="418"/>
      <c r="I52" s="418"/>
      <c r="J52" s="418"/>
      <c r="K52" s="418"/>
      <c r="L52" s="418"/>
      <c r="M52" s="418"/>
      <c r="N52" s="418"/>
      <c r="O52" s="418"/>
      <c r="P52" s="418"/>
      <c r="Q52" s="418"/>
      <c r="R52" s="418"/>
      <c r="S52" s="418"/>
      <c r="T52" s="418"/>
      <c r="U52" s="418"/>
      <c r="V52" s="418"/>
      <c r="W52" s="418"/>
      <c r="X52" s="418"/>
      <c r="Y52" s="418"/>
      <c r="Z52" s="418"/>
    </row>
  </sheetData>
  <mergeCells count="17">
    <mergeCell ref="A4:A5"/>
    <mergeCell ref="B4:G4"/>
    <mergeCell ref="I4:I5"/>
    <mergeCell ref="J4:O4"/>
    <mergeCell ref="A51:Z51"/>
    <mergeCell ref="A52:Z52"/>
    <mergeCell ref="J19:O19"/>
    <mergeCell ref="A19:A20"/>
    <mergeCell ref="B19:G19"/>
    <mergeCell ref="I19:I20"/>
    <mergeCell ref="A34:A35"/>
    <mergeCell ref="B34:G34"/>
    <mergeCell ref="I34:I35"/>
    <mergeCell ref="J34:O34"/>
    <mergeCell ref="A48:Z48"/>
    <mergeCell ref="A49:Z49"/>
    <mergeCell ref="A50:Z50"/>
  </mergeCells>
  <pageMargins left="0.75" right="0.75" top="1" bottom="1" header="0.5" footer="0.5"/>
  <pageSetup paperSize="8" orientation="landscape" r:id="rId1"/>
  <headerFooter alignWithMargins="0">
    <oddHeader>&amp;L&amp;"Calibri"&amp;10&amp;K000000Official&amp;1#</oddHead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3">
    <pageSetUpPr fitToPage="1"/>
  </sheetPr>
  <dimension ref="A1:Y52"/>
  <sheetViews>
    <sheetView workbookViewId="0"/>
  </sheetViews>
  <sheetFormatPr defaultColWidth="9.1796875" defaultRowHeight="10" x14ac:dyDescent="0.2"/>
  <cols>
    <col min="1" max="1" width="6.453125" style="9" customWidth="1"/>
    <col min="2" max="7" width="5.453125" style="9" customWidth="1"/>
    <col min="8" max="8" width="2.81640625" style="9" customWidth="1"/>
    <col min="9" max="9" width="6" style="9" customWidth="1"/>
    <col min="10" max="15" width="5.453125" style="9" customWidth="1"/>
    <col min="16" max="16" width="3" style="9" customWidth="1"/>
    <col min="17" max="16384" width="9.1796875" style="9"/>
  </cols>
  <sheetData>
    <row r="1" spans="1:17" ht="13" x14ac:dyDescent="0.3">
      <c r="A1" s="8" t="s">
        <v>202</v>
      </c>
    </row>
    <row r="3" spans="1:17" ht="10.5" x14ac:dyDescent="0.25">
      <c r="A3" s="10" t="s">
        <v>178</v>
      </c>
      <c r="I3" s="10" t="s">
        <v>179</v>
      </c>
      <c r="Q3" s="10" t="s">
        <v>180</v>
      </c>
    </row>
    <row r="4" spans="1:17" ht="10.5" x14ac:dyDescent="0.25">
      <c r="A4" s="426" t="s">
        <v>89</v>
      </c>
      <c r="B4" s="429" t="s">
        <v>153</v>
      </c>
      <c r="C4" s="429"/>
      <c r="D4" s="429"/>
      <c r="E4" s="429"/>
      <c r="F4" s="429"/>
      <c r="G4" s="430"/>
      <c r="H4" s="11"/>
      <c r="I4" s="426" t="s">
        <v>89</v>
      </c>
      <c r="J4" s="428" t="s">
        <v>153</v>
      </c>
      <c r="K4" s="429"/>
      <c r="L4" s="429"/>
      <c r="M4" s="429"/>
      <c r="N4" s="429"/>
      <c r="O4" s="430"/>
      <c r="Q4" s="9" t="s">
        <v>203</v>
      </c>
    </row>
    <row r="5" spans="1:17" ht="10.5" x14ac:dyDescent="0.25">
      <c r="A5" s="427"/>
      <c r="B5" s="12">
        <v>0</v>
      </c>
      <c r="C5" s="12">
        <v>1</v>
      </c>
      <c r="D5" s="12">
        <v>2</v>
      </c>
      <c r="E5" s="12">
        <v>3</v>
      </c>
      <c r="F5" s="12">
        <v>4</v>
      </c>
      <c r="G5" s="13" t="s">
        <v>154</v>
      </c>
      <c r="H5" s="11"/>
      <c r="I5" s="427"/>
      <c r="J5" s="12">
        <v>0</v>
      </c>
      <c r="K5" s="12">
        <v>1</v>
      </c>
      <c r="L5" s="12">
        <v>2</v>
      </c>
      <c r="M5" s="12">
        <v>3</v>
      </c>
      <c r="N5" s="12">
        <v>4</v>
      </c>
      <c r="O5" s="13" t="s">
        <v>154</v>
      </c>
      <c r="Q5" s="9" t="s">
        <v>204</v>
      </c>
    </row>
    <row r="6" spans="1:17" ht="10.5" x14ac:dyDescent="0.25">
      <c r="A6" s="14" t="s">
        <v>163</v>
      </c>
      <c r="B6" s="15">
        <v>0.05</v>
      </c>
      <c r="C6" s="15">
        <v>1.9512195121951219E-2</v>
      </c>
      <c r="D6" s="15">
        <v>7.3065902578796568E-2</v>
      </c>
      <c r="E6" s="15">
        <v>0.14084507042253522</v>
      </c>
      <c r="F6" s="15">
        <v>0.14084507042253522</v>
      </c>
      <c r="G6" s="15">
        <v>0.21428571428571427</v>
      </c>
      <c r="H6" s="11"/>
      <c r="I6" s="14" t="s">
        <v>163</v>
      </c>
      <c r="J6" s="15">
        <v>0.05</v>
      </c>
      <c r="K6" s="15">
        <v>1.9512195121951219E-2</v>
      </c>
      <c r="L6" s="15">
        <v>3.3898305084745763E-2</v>
      </c>
      <c r="M6" s="15">
        <v>0.171875</v>
      </c>
      <c r="N6" s="15">
        <v>0.21428571428571427</v>
      </c>
      <c r="O6" s="15">
        <v>0.2</v>
      </c>
      <c r="Q6" s="9" t="s">
        <v>189</v>
      </c>
    </row>
    <row r="7" spans="1:17" ht="10.5" x14ac:dyDescent="0.25">
      <c r="A7" s="16" t="s">
        <v>164</v>
      </c>
      <c r="B7" s="15">
        <v>0</v>
      </c>
      <c r="C7" s="15">
        <v>9.7560975609756097E-3</v>
      </c>
      <c r="D7" s="15">
        <v>2.2922636103151862E-2</v>
      </c>
      <c r="E7" s="15">
        <v>9.8591549295774641E-2</v>
      </c>
      <c r="F7" s="15">
        <v>9.8591549295774641E-2</v>
      </c>
      <c r="G7" s="15">
        <v>0.27142857142857141</v>
      </c>
      <c r="H7" s="11"/>
      <c r="I7" s="16" t="s">
        <v>164</v>
      </c>
      <c r="J7" s="15">
        <v>0</v>
      </c>
      <c r="K7" s="15">
        <v>9.7560975609756097E-3</v>
      </c>
      <c r="L7" s="15">
        <v>3.3898305084745763E-2</v>
      </c>
      <c r="M7" s="15">
        <v>0.1015625</v>
      </c>
      <c r="N7" s="15">
        <v>0.27142857142857141</v>
      </c>
      <c r="O7" s="15">
        <v>0.1</v>
      </c>
      <c r="Q7" s="9" t="s">
        <v>190</v>
      </c>
    </row>
    <row r="8" spans="1:17" ht="10.5" x14ac:dyDescent="0.25">
      <c r="A8" s="16" t="s">
        <v>165</v>
      </c>
      <c r="B8" s="15">
        <v>0</v>
      </c>
      <c r="C8" s="15">
        <v>4.8780487804878049E-3</v>
      </c>
      <c r="D8" s="15">
        <v>1.8624641833810889E-2</v>
      </c>
      <c r="E8" s="15">
        <v>0.16901408450704225</v>
      </c>
      <c r="F8" s="15">
        <v>0.16901408450704225</v>
      </c>
      <c r="G8" s="15">
        <v>0.38571428571428573</v>
      </c>
      <c r="H8" s="11"/>
      <c r="I8" s="16" t="s">
        <v>165</v>
      </c>
      <c r="J8" s="15">
        <v>0</v>
      </c>
      <c r="K8" s="15">
        <v>4.8780487804878049E-3</v>
      </c>
      <c r="L8" s="15">
        <v>0</v>
      </c>
      <c r="M8" s="15">
        <v>0.140625</v>
      </c>
      <c r="N8" s="15">
        <v>0.38571428571428573</v>
      </c>
      <c r="O8" s="15">
        <v>0.5</v>
      </c>
    </row>
    <row r="9" spans="1:17" ht="10.5" x14ac:dyDescent="0.25">
      <c r="A9" s="16" t="s">
        <v>166</v>
      </c>
      <c r="B9" s="15">
        <v>0</v>
      </c>
      <c r="C9" s="15">
        <v>0</v>
      </c>
      <c r="D9" s="15">
        <v>1.0028653295128941E-2</v>
      </c>
      <c r="E9" s="15">
        <v>5.6338028169014086E-2</v>
      </c>
      <c r="F9" s="15">
        <v>5.6338028169014086E-2</v>
      </c>
      <c r="G9" s="15">
        <v>0.12857142857142856</v>
      </c>
      <c r="H9" s="11"/>
      <c r="I9" s="16" t="s">
        <v>166</v>
      </c>
      <c r="J9" s="15">
        <v>0</v>
      </c>
      <c r="K9" s="15">
        <v>0</v>
      </c>
      <c r="L9" s="15">
        <v>3.3898305084745763E-2</v>
      </c>
      <c r="M9" s="15">
        <v>7.8125E-2</v>
      </c>
      <c r="N9" s="15">
        <v>0.12857142857142856</v>
      </c>
      <c r="O9" s="15">
        <v>0.4</v>
      </c>
    </row>
    <row r="10" spans="1:17" ht="10.5" x14ac:dyDescent="0.25">
      <c r="A10" s="16" t="s">
        <v>167</v>
      </c>
      <c r="B10" s="15">
        <v>0</v>
      </c>
      <c r="C10" s="15">
        <v>0</v>
      </c>
      <c r="D10" s="15">
        <v>8.5959885386819486E-3</v>
      </c>
      <c r="E10" s="15">
        <v>2.8169014084507043E-2</v>
      </c>
      <c r="F10" s="15">
        <v>2.8169014084507043E-2</v>
      </c>
      <c r="G10" s="15">
        <v>5.7142857142857141E-2</v>
      </c>
      <c r="H10" s="11"/>
      <c r="I10" s="16" t="s">
        <v>167</v>
      </c>
      <c r="J10" s="15">
        <v>0</v>
      </c>
      <c r="K10" s="15">
        <v>0</v>
      </c>
      <c r="L10" s="15">
        <v>1.6949152542372881E-2</v>
      </c>
      <c r="M10" s="15">
        <v>4.6875E-2</v>
      </c>
      <c r="N10" s="15">
        <v>5.7142857142857141E-2</v>
      </c>
      <c r="O10" s="15">
        <v>0.1</v>
      </c>
    </row>
    <row r="11" spans="1:17" ht="10.5" x14ac:dyDescent="0.25">
      <c r="A11" s="14" t="s">
        <v>168</v>
      </c>
      <c r="B11" s="15">
        <v>0.6</v>
      </c>
      <c r="C11" s="15">
        <v>0.57560975609756093</v>
      </c>
      <c r="D11" s="15">
        <v>0.50716332378223494</v>
      </c>
      <c r="E11" s="15">
        <v>0.29577464788732394</v>
      </c>
      <c r="F11" s="15">
        <v>0.29577464788732394</v>
      </c>
      <c r="G11" s="15">
        <v>0.12857142857142856</v>
      </c>
      <c r="H11" s="11"/>
      <c r="I11" s="14" t="s">
        <v>168</v>
      </c>
      <c r="J11" s="15">
        <v>0.6</v>
      </c>
      <c r="K11" s="15">
        <v>0.57560975609756093</v>
      </c>
      <c r="L11" s="15">
        <v>0.23728813559322035</v>
      </c>
      <c r="M11" s="15">
        <v>0.3203125</v>
      </c>
      <c r="N11" s="15">
        <v>0.12857142857142856</v>
      </c>
      <c r="O11" s="15">
        <v>0.15</v>
      </c>
    </row>
    <row r="12" spans="1:17" ht="10.5" x14ac:dyDescent="0.25">
      <c r="A12" s="14" t="s">
        <v>169</v>
      </c>
      <c r="B12" s="15">
        <v>0.35</v>
      </c>
      <c r="C12" s="15">
        <v>0.53170731707317076</v>
      </c>
      <c r="D12" s="15">
        <v>0.61461318051575931</v>
      </c>
      <c r="E12" s="15">
        <v>0.52112676056338025</v>
      </c>
      <c r="F12" s="15">
        <v>0.52112676056338025</v>
      </c>
      <c r="G12" s="15">
        <v>0.6</v>
      </c>
      <c r="H12" s="11"/>
      <c r="I12" s="14" t="s">
        <v>169</v>
      </c>
      <c r="J12" s="15">
        <v>0.35</v>
      </c>
      <c r="K12" s="15">
        <v>0.53170731707317076</v>
      </c>
      <c r="L12" s="15">
        <v>0.71186440677966101</v>
      </c>
      <c r="M12" s="15">
        <v>0.8046875</v>
      </c>
      <c r="N12" s="15">
        <v>0.6</v>
      </c>
      <c r="O12" s="15">
        <v>0.5</v>
      </c>
    </row>
    <row r="13" spans="1:17" ht="10.5" x14ac:dyDescent="0.25">
      <c r="A13" s="14" t="s">
        <v>170</v>
      </c>
      <c r="B13" s="15">
        <v>0.35</v>
      </c>
      <c r="C13" s="15">
        <v>0.23414634146341465</v>
      </c>
      <c r="D13" s="15">
        <v>0.32378223495702008</v>
      </c>
      <c r="E13" s="15">
        <v>0.74647887323943662</v>
      </c>
      <c r="F13" s="15">
        <v>0.74647887323943662</v>
      </c>
      <c r="G13" s="15">
        <v>0.91428571428571426</v>
      </c>
      <c r="H13" s="11"/>
      <c r="I13" s="14" t="s">
        <v>170</v>
      </c>
      <c r="J13" s="15">
        <v>0.35</v>
      </c>
      <c r="K13" s="15">
        <v>0.23414634146341465</v>
      </c>
      <c r="L13" s="15">
        <v>0.52542372881355937</v>
      </c>
      <c r="M13" s="15">
        <v>0.5859375</v>
      </c>
      <c r="N13" s="15">
        <v>0.91428571428571426</v>
      </c>
      <c r="O13" s="15">
        <v>1.1000000000000001</v>
      </c>
    </row>
    <row r="14" spans="1:17" ht="10.5" x14ac:dyDescent="0.25">
      <c r="A14" s="14" t="s">
        <v>171</v>
      </c>
      <c r="B14" s="15">
        <v>0</v>
      </c>
      <c r="C14" s="15">
        <v>9.7560975609756101E-2</v>
      </c>
      <c r="D14" s="15">
        <v>0.15616045845272206</v>
      </c>
      <c r="E14" s="15">
        <v>0.23943661971830985</v>
      </c>
      <c r="F14" s="15">
        <v>0.23943661971830985</v>
      </c>
      <c r="G14" s="15">
        <v>0.25714285714285712</v>
      </c>
      <c r="H14" s="11"/>
      <c r="I14" s="14" t="s">
        <v>171</v>
      </c>
      <c r="J14" s="15">
        <v>0</v>
      </c>
      <c r="K14" s="15">
        <v>9.7560975609756101E-2</v>
      </c>
      <c r="L14" s="15">
        <v>0.15254237288135594</v>
      </c>
      <c r="M14" s="15">
        <v>0.21875</v>
      </c>
      <c r="N14" s="15">
        <v>0.25714285714285712</v>
      </c>
      <c r="O14" s="15">
        <v>0.15</v>
      </c>
    </row>
    <row r="15" spans="1:17" ht="10.5" x14ac:dyDescent="0.25">
      <c r="A15" s="17" t="s">
        <v>90</v>
      </c>
      <c r="B15" s="15">
        <v>0</v>
      </c>
      <c r="C15" s="15">
        <v>4.8780487804878049E-3</v>
      </c>
      <c r="D15" s="15">
        <v>3.0085959885386818E-2</v>
      </c>
      <c r="E15" s="15">
        <v>4.2253521126760563E-2</v>
      </c>
      <c r="F15" s="15">
        <v>4.2253521126760563E-2</v>
      </c>
      <c r="G15" s="15">
        <v>0</v>
      </c>
      <c r="H15" s="11"/>
      <c r="I15" s="17" t="s">
        <v>90</v>
      </c>
      <c r="J15" s="15">
        <v>0</v>
      </c>
      <c r="K15" s="15">
        <v>4.8780487804878049E-3</v>
      </c>
      <c r="L15" s="15">
        <v>0</v>
      </c>
      <c r="M15" s="15">
        <v>1.5625E-2</v>
      </c>
      <c r="N15" s="15">
        <v>0</v>
      </c>
      <c r="O15" s="15">
        <v>0</v>
      </c>
    </row>
    <row r="16" spans="1:17" ht="10.5" x14ac:dyDescent="0.25">
      <c r="A16" s="12" t="s">
        <v>49</v>
      </c>
      <c r="B16" s="18">
        <v>1.35</v>
      </c>
      <c r="C16" s="18">
        <v>1.4780487804878051</v>
      </c>
      <c r="D16" s="18">
        <v>1.7650429799426934</v>
      </c>
      <c r="E16" s="18">
        <v>2.3380281690140845</v>
      </c>
      <c r="F16" s="18">
        <v>2.3380281690140845</v>
      </c>
      <c r="G16" s="19">
        <v>2.9571428571428569</v>
      </c>
      <c r="H16" s="11"/>
      <c r="I16" s="12" t="s">
        <v>49</v>
      </c>
      <c r="J16" s="18">
        <v>1.35</v>
      </c>
      <c r="K16" s="18">
        <v>1.4780487804878051</v>
      </c>
      <c r="L16" s="19">
        <v>1.745762711864407</v>
      </c>
      <c r="M16" s="19">
        <v>2.484375</v>
      </c>
      <c r="N16" s="19">
        <v>2.9571428571428569</v>
      </c>
      <c r="O16" s="19">
        <v>3.2</v>
      </c>
    </row>
    <row r="18" spans="1:17" ht="10.5" x14ac:dyDescent="0.25">
      <c r="A18" s="10" t="s">
        <v>184</v>
      </c>
      <c r="B18" s="11"/>
      <c r="C18" s="11"/>
      <c r="D18" s="11"/>
      <c r="E18" s="11"/>
      <c r="F18" s="11"/>
      <c r="G18" s="11"/>
      <c r="H18" s="11"/>
      <c r="I18" s="20" t="s">
        <v>185</v>
      </c>
      <c r="J18" s="11"/>
      <c r="K18" s="11"/>
      <c r="L18" s="11"/>
      <c r="M18" s="11"/>
      <c r="N18" s="11"/>
      <c r="O18" s="11"/>
      <c r="Q18" s="10" t="s">
        <v>186</v>
      </c>
    </row>
    <row r="19" spans="1:17" ht="10.5" x14ac:dyDescent="0.25">
      <c r="A19" s="426" t="s">
        <v>89</v>
      </c>
      <c r="B19" s="428" t="s">
        <v>153</v>
      </c>
      <c r="C19" s="429"/>
      <c r="D19" s="429"/>
      <c r="E19" s="429"/>
      <c r="F19" s="429"/>
      <c r="G19" s="430"/>
      <c r="I19" s="422" t="s">
        <v>89</v>
      </c>
      <c r="J19" s="419" t="s">
        <v>153</v>
      </c>
      <c r="K19" s="420"/>
      <c r="L19" s="420"/>
      <c r="M19" s="420"/>
      <c r="N19" s="420"/>
      <c r="O19" s="421"/>
      <c r="Q19" s="9" t="s">
        <v>181</v>
      </c>
    </row>
    <row r="20" spans="1:17" ht="10.5" x14ac:dyDescent="0.25">
      <c r="A20" s="427"/>
      <c r="B20" s="12">
        <v>0</v>
      </c>
      <c r="C20" s="12">
        <v>1</v>
      </c>
      <c r="D20" s="12">
        <v>2</v>
      </c>
      <c r="E20" s="12">
        <v>3</v>
      </c>
      <c r="F20" s="12">
        <v>4</v>
      </c>
      <c r="G20" s="13" t="s">
        <v>154</v>
      </c>
      <c r="I20" s="423"/>
      <c r="J20" s="12">
        <v>0</v>
      </c>
      <c r="K20" s="12">
        <v>1</v>
      </c>
      <c r="L20" s="12">
        <v>2</v>
      </c>
      <c r="M20" s="12">
        <v>3</v>
      </c>
      <c r="N20" s="12">
        <v>4</v>
      </c>
      <c r="O20" s="13" t="s">
        <v>154</v>
      </c>
      <c r="Q20" s="9" t="s">
        <v>187</v>
      </c>
    </row>
    <row r="21" spans="1:17" ht="10.5" x14ac:dyDescent="0.25">
      <c r="A21" s="14" t="s">
        <v>163</v>
      </c>
      <c r="B21" s="15">
        <v>8.3333333333333329E-2</v>
      </c>
      <c r="C21" s="15">
        <v>8.3333333333333329E-2</v>
      </c>
      <c r="D21" s="15">
        <v>4.5454545454545456E-2</v>
      </c>
      <c r="E21" s="15">
        <v>4.5454545454545456E-2</v>
      </c>
      <c r="F21" s="15">
        <v>0.16666666666666666</v>
      </c>
      <c r="G21" s="15">
        <v>0.16666666666666666</v>
      </c>
      <c r="I21" s="21" t="s">
        <v>163</v>
      </c>
      <c r="J21" s="15">
        <v>8.3333333333333329E-2</v>
      </c>
      <c r="K21" s="15">
        <v>8.3333333333333329E-2</v>
      </c>
      <c r="L21" s="15">
        <v>0.4</v>
      </c>
      <c r="M21" s="15">
        <v>0.16666666666666666</v>
      </c>
      <c r="N21" s="15">
        <v>0.16666666666666666</v>
      </c>
      <c r="O21" s="15">
        <v>0.16666666666666666</v>
      </c>
      <c r="Q21" s="9" t="s">
        <v>188</v>
      </c>
    </row>
    <row r="22" spans="1:17" ht="10.5" x14ac:dyDescent="0.25">
      <c r="A22" s="16" t="s">
        <v>164</v>
      </c>
      <c r="B22" s="15">
        <v>0</v>
      </c>
      <c r="C22" s="15">
        <v>0</v>
      </c>
      <c r="D22" s="15">
        <v>0.27272727272727271</v>
      </c>
      <c r="E22" s="15">
        <v>0.27272727272727271</v>
      </c>
      <c r="F22" s="15">
        <v>0.16666666666666666</v>
      </c>
      <c r="G22" s="15">
        <v>0.16666666666666666</v>
      </c>
      <c r="I22" s="22" t="s">
        <v>164</v>
      </c>
      <c r="J22" s="15">
        <v>0</v>
      </c>
      <c r="K22" s="15">
        <v>0</v>
      </c>
      <c r="L22" s="15">
        <v>0.2</v>
      </c>
      <c r="M22" s="15">
        <v>0.16666666666666666</v>
      </c>
      <c r="N22" s="15">
        <v>0.16666666666666666</v>
      </c>
      <c r="O22" s="15">
        <v>0.16666666666666666</v>
      </c>
      <c r="Q22" s="9" t="s">
        <v>189</v>
      </c>
    </row>
    <row r="23" spans="1:17" ht="10.5" x14ac:dyDescent="0.25">
      <c r="A23" s="16" t="s">
        <v>165</v>
      </c>
      <c r="B23" s="15">
        <v>0</v>
      </c>
      <c r="C23" s="15">
        <v>0</v>
      </c>
      <c r="D23" s="15">
        <v>0.18181818181818182</v>
      </c>
      <c r="E23" s="15">
        <v>0.18181818181818182</v>
      </c>
      <c r="F23" s="15">
        <v>0.5</v>
      </c>
      <c r="G23" s="15">
        <v>0.5</v>
      </c>
      <c r="I23" s="22" t="s">
        <v>165</v>
      </c>
      <c r="J23" s="15">
        <v>0</v>
      </c>
      <c r="K23" s="15">
        <v>0</v>
      </c>
      <c r="L23" s="15">
        <v>0</v>
      </c>
      <c r="M23" s="15">
        <v>0.5</v>
      </c>
      <c r="N23" s="15">
        <v>0.5</v>
      </c>
      <c r="O23" s="15">
        <v>0.5</v>
      </c>
      <c r="Q23" s="9" t="s">
        <v>190</v>
      </c>
    </row>
    <row r="24" spans="1:17" ht="10.5" x14ac:dyDescent="0.25">
      <c r="A24" s="16" t="s">
        <v>166</v>
      </c>
      <c r="B24" s="15">
        <v>0</v>
      </c>
      <c r="C24" s="15">
        <v>0</v>
      </c>
      <c r="D24" s="15">
        <v>0</v>
      </c>
      <c r="E24" s="15">
        <v>0</v>
      </c>
      <c r="F24" s="15">
        <v>0</v>
      </c>
      <c r="G24" s="15">
        <v>0</v>
      </c>
      <c r="I24" s="22" t="s">
        <v>166</v>
      </c>
      <c r="J24" s="15">
        <v>0</v>
      </c>
      <c r="K24" s="15">
        <v>0</v>
      </c>
      <c r="L24" s="15">
        <v>0</v>
      </c>
      <c r="M24" s="15">
        <v>0</v>
      </c>
      <c r="N24" s="15">
        <v>0</v>
      </c>
      <c r="O24" s="15">
        <v>0</v>
      </c>
      <c r="Q24" s="9" t="s">
        <v>191</v>
      </c>
    </row>
    <row r="25" spans="1:17" ht="10.5" x14ac:dyDescent="0.25">
      <c r="A25" s="16" t="s">
        <v>167</v>
      </c>
      <c r="B25" s="15">
        <v>0</v>
      </c>
      <c r="C25" s="15">
        <v>0</v>
      </c>
      <c r="D25" s="15">
        <v>4.5454545454545456E-2</v>
      </c>
      <c r="E25" s="15">
        <v>4.5454545454545456E-2</v>
      </c>
      <c r="F25" s="15">
        <v>0.16666666666666666</v>
      </c>
      <c r="G25" s="15">
        <v>0.16666666666666666</v>
      </c>
      <c r="I25" s="22" t="s">
        <v>167</v>
      </c>
      <c r="J25" s="15">
        <v>0</v>
      </c>
      <c r="K25" s="15">
        <v>0</v>
      </c>
      <c r="L25" s="15">
        <v>0.2</v>
      </c>
      <c r="M25" s="15">
        <v>0.16666666666666666</v>
      </c>
      <c r="N25" s="15">
        <v>0.16666666666666666</v>
      </c>
      <c r="O25" s="15">
        <v>0.16666666666666666</v>
      </c>
    </row>
    <row r="26" spans="1:17" ht="10.5" x14ac:dyDescent="0.25">
      <c r="A26" s="14" t="s">
        <v>168</v>
      </c>
      <c r="B26" s="15">
        <v>0.16666666666666666</v>
      </c>
      <c r="C26" s="15">
        <v>0.16666666666666666</v>
      </c>
      <c r="D26" s="15">
        <v>0.36363636363636365</v>
      </c>
      <c r="E26" s="15">
        <v>0.36363636363636365</v>
      </c>
      <c r="F26" s="15">
        <v>0.66666666666666663</v>
      </c>
      <c r="G26" s="15">
        <v>0.66666666666666663</v>
      </c>
      <c r="I26" s="21" t="s">
        <v>168</v>
      </c>
      <c r="J26" s="15">
        <v>0.16666666666666666</v>
      </c>
      <c r="K26" s="15">
        <v>0.16666666666666666</v>
      </c>
      <c r="L26" s="15">
        <v>0</v>
      </c>
      <c r="M26" s="15">
        <v>0.66666666666666663</v>
      </c>
      <c r="N26" s="15">
        <v>0.66666666666666663</v>
      </c>
      <c r="O26" s="15">
        <v>0.66666666666666663</v>
      </c>
    </row>
    <row r="27" spans="1:17" ht="10.5" x14ac:dyDescent="0.25">
      <c r="A27" s="14" t="s">
        <v>169</v>
      </c>
      <c r="B27" s="15">
        <v>0.75</v>
      </c>
      <c r="C27" s="15">
        <v>0.75</v>
      </c>
      <c r="D27" s="15">
        <v>0.86363636363636365</v>
      </c>
      <c r="E27" s="15">
        <v>0.86363636363636365</v>
      </c>
      <c r="F27" s="15">
        <v>0.66666666666666663</v>
      </c>
      <c r="G27" s="15">
        <v>0.66666666666666663</v>
      </c>
      <c r="I27" s="21" t="s">
        <v>169</v>
      </c>
      <c r="J27" s="15">
        <v>0.75</v>
      </c>
      <c r="K27" s="15">
        <v>0.75</v>
      </c>
      <c r="L27" s="15">
        <v>0.4</v>
      </c>
      <c r="M27" s="15">
        <v>0.66666666666666663</v>
      </c>
      <c r="N27" s="15">
        <v>0.66666666666666663</v>
      </c>
      <c r="O27" s="15">
        <v>0.66666666666666663</v>
      </c>
    </row>
    <row r="28" spans="1:17" ht="10.5" x14ac:dyDescent="0.25">
      <c r="A28" s="14" t="s">
        <v>170</v>
      </c>
      <c r="B28" s="15">
        <v>0.25</v>
      </c>
      <c r="C28" s="15">
        <v>0.25</v>
      </c>
      <c r="D28" s="15">
        <v>0.45454545454545453</v>
      </c>
      <c r="E28" s="15">
        <v>0.45454545454545453</v>
      </c>
      <c r="F28" s="15">
        <v>1</v>
      </c>
      <c r="G28" s="15">
        <v>1</v>
      </c>
      <c r="I28" s="21" t="s">
        <v>170</v>
      </c>
      <c r="J28" s="15">
        <v>0.25</v>
      </c>
      <c r="K28" s="15">
        <v>0.25</v>
      </c>
      <c r="L28" s="15">
        <v>1.2</v>
      </c>
      <c r="M28" s="15">
        <v>1</v>
      </c>
      <c r="N28" s="15">
        <v>1</v>
      </c>
      <c r="O28" s="15">
        <v>1</v>
      </c>
    </row>
    <row r="29" spans="1:17" ht="10.5" x14ac:dyDescent="0.25">
      <c r="A29" s="14" t="s">
        <v>171</v>
      </c>
      <c r="B29" s="15">
        <v>8.3333333333333329E-2</v>
      </c>
      <c r="C29" s="15">
        <v>8.3333333333333329E-2</v>
      </c>
      <c r="D29" s="15">
        <v>9.0909090909090912E-2</v>
      </c>
      <c r="E29" s="15">
        <v>9.0909090909090912E-2</v>
      </c>
      <c r="F29" s="15">
        <v>0.16666666666666666</v>
      </c>
      <c r="G29" s="15">
        <v>0.16666666666666666</v>
      </c>
      <c r="I29" s="21" t="s">
        <v>171</v>
      </c>
      <c r="J29" s="15">
        <v>8.3333333333333329E-2</v>
      </c>
      <c r="K29" s="15">
        <v>8.3333333333333329E-2</v>
      </c>
      <c r="L29" s="15">
        <v>0</v>
      </c>
      <c r="M29" s="15">
        <v>0.16666666666666666</v>
      </c>
      <c r="N29" s="15">
        <v>0.16666666666666666</v>
      </c>
      <c r="O29" s="15">
        <v>0.16666666666666666</v>
      </c>
    </row>
    <row r="30" spans="1:17" ht="10.5" x14ac:dyDescent="0.25">
      <c r="A30" s="17" t="s">
        <v>90</v>
      </c>
      <c r="B30" s="15">
        <v>0</v>
      </c>
      <c r="C30" s="15">
        <v>0</v>
      </c>
      <c r="D30" s="15">
        <v>0</v>
      </c>
      <c r="E30" s="15">
        <v>0</v>
      </c>
      <c r="F30" s="15">
        <v>0</v>
      </c>
      <c r="G30" s="15">
        <v>0</v>
      </c>
      <c r="I30" s="23" t="s">
        <v>90</v>
      </c>
      <c r="J30" s="15">
        <v>0</v>
      </c>
      <c r="K30" s="15">
        <v>0</v>
      </c>
      <c r="L30" s="15">
        <v>0</v>
      </c>
      <c r="M30" s="15">
        <v>0</v>
      </c>
      <c r="N30" s="15">
        <v>0</v>
      </c>
      <c r="O30" s="15">
        <v>0</v>
      </c>
    </row>
    <row r="31" spans="1:17" ht="10.5" x14ac:dyDescent="0.25">
      <c r="A31" s="12" t="s">
        <v>49</v>
      </c>
      <c r="B31" s="18">
        <v>1.3333333333333333</v>
      </c>
      <c r="C31" s="18">
        <v>1.3333333333333333</v>
      </c>
      <c r="D31" s="18">
        <v>2.3181818181818179</v>
      </c>
      <c r="E31" s="18">
        <v>2.3181818181818179</v>
      </c>
      <c r="F31" s="18">
        <v>3.5</v>
      </c>
      <c r="G31" s="18">
        <v>3.5</v>
      </c>
      <c r="I31" s="24" t="s">
        <v>49</v>
      </c>
      <c r="J31" s="18">
        <v>1.3333333333333333</v>
      </c>
      <c r="K31" s="18">
        <v>1.3333333333333333</v>
      </c>
      <c r="L31" s="25">
        <v>2.4</v>
      </c>
      <c r="M31" s="25">
        <v>3.5</v>
      </c>
      <c r="N31" s="25">
        <v>3.5</v>
      </c>
      <c r="O31" s="25">
        <v>3.5</v>
      </c>
    </row>
    <row r="33" spans="1:25" ht="10.5" x14ac:dyDescent="0.25">
      <c r="A33" s="10" t="s">
        <v>192</v>
      </c>
      <c r="B33" s="11"/>
      <c r="C33" s="11"/>
      <c r="D33" s="11"/>
      <c r="E33" s="11"/>
      <c r="F33" s="11"/>
      <c r="G33" s="11"/>
      <c r="H33" s="11"/>
      <c r="I33" s="20" t="s">
        <v>193</v>
      </c>
      <c r="J33" s="11"/>
      <c r="K33" s="11"/>
      <c r="L33" s="11"/>
      <c r="M33" s="11"/>
      <c r="N33" s="11"/>
      <c r="O33" s="11"/>
      <c r="Q33" s="10" t="s">
        <v>194</v>
      </c>
    </row>
    <row r="34" spans="1:25" ht="10.5" x14ac:dyDescent="0.25">
      <c r="A34" s="426" t="s">
        <v>89</v>
      </c>
      <c r="B34" s="428" t="s">
        <v>153</v>
      </c>
      <c r="C34" s="429"/>
      <c r="D34" s="429"/>
      <c r="E34" s="429"/>
      <c r="F34" s="429"/>
      <c r="G34" s="430"/>
      <c r="I34" s="426" t="s">
        <v>89</v>
      </c>
      <c r="J34" s="429" t="s">
        <v>153</v>
      </c>
      <c r="K34" s="429"/>
      <c r="L34" s="429"/>
      <c r="M34" s="429"/>
      <c r="N34" s="429"/>
      <c r="O34" s="430"/>
      <c r="Q34" s="9" t="s">
        <v>181</v>
      </c>
    </row>
    <row r="35" spans="1:25" ht="10.5" x14ac:dyDescent="0.25">
      <c r="A35" s="427"/>
      <c r="B35" s="12">
        <v>0</v>
      </c>
      <c r="C35" s="12">
        <v>1</v>
      </c>
      <c r="D35" s="12">
        <v>2</v>
      </c>
      <c r="E35" s="12">
        <v>3</v>
      </c>
      <c r="F35" s="12">
        <v>4</v>
      </c>
      <c r="G35" s="13" t="s">
        <v>154</v>
      </c>
      <c r="I35" s="427"/>
      <c r="J35" s="12">
        <v>0</v>
      </c>
      <c r="K35" s="12">
        <v>1</v>
      </c>
      <c r="L35" s="12">
        <v>2</v>
      </c>
      <c r="M35" s="12">
        <v>3</v>
      </c>
      <c r="N35" s="12">
        <v>4</v>
      </c>
      <c r="O35" s="13" t="s">
        <v>154</v>
      </c>
      <c r="Q35" s="9" t="s">
        <v>187</v>
      </c>
    </row>
    <row r="36" spans="1:25" ht="10.5" x14ac:dyDescent="0.25">
      <c r="A36" s="14" t="s">
        <v>163</v>
      </c>
      <c r="B36" s="15">
        <v>0.08</v>
      </c>
      <c r="C36" s="15">
        <v>0.08</v>
      </c>
      <c r="D36" s="15">
        <v>0.19047619047619047</v>
      </c>
      <c r="E36" s="15">
        <v>0.19047619047619047</v>
      </c>
      <c r="F36" s="15">
        <v>8.8235294117647065E-2</v>
      </c>
      <c r="G36" s="15">
        <v>8.8235294117647065E-2</v>
      </c>
      <c r="I36" s="14" t="s">
        <v>163</v>
      </c>
      <c r="J36" s="15">
        <v>0.08</v>
      </c>
      <c r="K36" s="15">
        <v>0.08</v>
      </c>
      <c r="L36" s="15">
        <v>0.19047619047619047</v>
      </c>
      <c r="M36" s="15">
        <v>8.8235294117647065E-2</v>
      </c>
      <c r="N36" s="15">
        <v>8.8235294117647065E-2</v>
      </c>
      <c r="O36" s="15">
        <v>8.8235294117647065E-2</v>
      </c>
      <c r="Q36" s="9" t="s">
        <v>188</v>
      </c>
    </row>
    <row r="37" spans="1:25" ht="10.5" x14ac:dyDescent="0.25">
      <c r="A37" s="16" t="s">
        <v>164</v>
      </c>
      <c r="B37" s="15">
        <v>0</v>
      </c>
      <c r="C37" s="15">
        <v>0</v>
      </c>
      <c r="D37" s="15">
        <v>0.19047619047619047</v>
      </c>
      <c r="E37" s="15">
        <v>0.19047619047619047</v>
      </c>
      <c r="F37" s="15">
        <v>8.8235294117647065E-2</v>
      </c>
      <c r="G37" s="15">
        <v>8.8235294117647065E-2</v>
      </c>
      <c r="I37" s="16" t="s">
        <v>164</v>
      </c>
      <c r="J37" s="15">
        <v>0</v>
      </c>
      <c r="K37" s="15">
        <v>0</v>
      </c>
      <c r="L37" s="15">
        <v>0.19047619047619047</v>
      </c>
      <c r="M37" s="15">
        <v>8.8235294117647065E-2</v>
      </c>
      <c r="N37" s="15">
        <v>8.8235294117647065E-2</v>
      </c>
      <c r="O37" s="15">
        <v>8.8235294117647065E-2</v>
      </c>
      <c r="Q37" s="9" t="s">
        <v>189</v>
      </c>
    </row>
    <row r="38" spans="1:25" ht="10.5" x14ac:dyDescent="0.25">
      <c r="A38" s="16" t="s">
        <v>165</v>
      </c>
      <c r="B38" s="15">
        <v>0</v>
      </c>
      <c r="C38" s="15">
        <v>0</v>
      </c>
      <c r="D38" s="15">
        <v>0.19047619047619047</v>
      </c>
      <c r="E38" s="15">
        <v>0.19047619047619047</v>
      </c>
      <c r="F38" s="15">
        <v>0.38235294117647056</v>
      </c>
      <c r="G38" s="15">
        <v>0.38235294117647056</v>
      </c>
      <c r="I38" s="16" t="s">
        <v>165</v>
      </c>
      <c r="J38" s="15">
        <v>0</v>
      </c>
      <c r="K38" s="15">
        <v>0</v>
      </c>
      <c r="L38" s="15">
        <v>0.19047619047619047</v>
      </c>
      <c r="M38" s="15">
        <v>0.38235294117647056</v>
      </c>
      <c r="N38" s="15">
        <v>0.38235294117647056</v>
      </c>
      <c r="O38" s="15">
        <v>0.38235294117647056</v>
      </c>
      <c r="Q38" s="9" t="s">
        <v>190</v>
      </c>
    </row>
    <row r="39" spans="1:25" ht="10.5" x14ac:dyDescent="0.25">
      <c r="A39" s="16" t="s">
        <v>166</v>
      </c>
      <c r="B39" s="15">
        <v>0</v>
      </c>
      <c r="C39" s="15">
        <v>0</v>
      </c>
      <c r="D39" s="15">
        <v>0.23809523809523808</v>
      </c>
      <c r="E39" s="15">
        <v>0.23809523809523808</v>
      </c>
      <c r="F39" s="15">
        <v>0.76470588235294112</v>
      </c>
      <c r="G39" s="15">
        <v>0.76470588235294112</v>
      </c>
      <c r="I39" s="16" t="s">
        <v>166</v>
      </c>
      <c r="J39" s="15">
        <v>0</v>
      </c>
      <c r="K39" s="15">
        <v>0</v>
      </c>
      <c r="L39" s="15">
        <v>0.23809523809523808</v>
      </c>
      <c r="M39" s="15">
        <v>0.76470588235294112</v>
      </c>
      <c r="N39" s="15">
        <v>0.76470588235294112</v>
      </c>
      <c r="O39" s="15">
        <v>0.76470588235294112</v>
      </c>
      <c r="Q39" s="9" t="s">
        <v>195</v>
      </c>
    </row>
    <row r="40" spans="1:25" ht="10.5" x14ac:dyDescent="0.25">
      <c r="A40" s="16" t="s">
        <v>167</v>
      </c>
      <c r="B40" s="15">
        <v>0.04</v>
      </c>
      <c r="C40" s="15">
        <v>0.04</v>
      </c>
      <c r="D40" s="15">
        <v>0</v>
      </c>
      <c r="E40" s="15">
        <v>0</v>
      </c>
      <c r="F40" s="15">
        <v>0.29411764705882354</v>
      </c>
      <c r="G40" s="15">
        <v>0.29411764705882354</v>
      </c>
      <c r="I40" s="16" t="s">
        <v>167</v>
      </c>
      <c r="J40" s="15">
        <v>0.04</v>
      </c>
      <c r="K40" s="15">
        <v>0.04</v>
      </c>
      <c r="L40" s="15">
        <v>0</v>
      </c>
      <c r="M40" s="15">
        <v>0.29411764705882354</v>
      </c>
      <c r="N40" s="15">
        <v>0.29411764705882354</v>
      </c>
      <c r="O40" s="15">
        <v>0.29411764705882354</v>
      </c>
      <c r="Q40" s="9" t="s">
        <v>191</v>
      </c>
    </row>
    <row r="41" spans="1:25" ht="10.5" x14ac:dyDescent="0.25">
      <c r="A41" s="14" t="s">
        <v>168</v>
      </c>
      <c r="B41" s="15">
        <v>0.12</v>
      </c>
      <c r="C41" s="15">
        <v>0.12</v>
      </c>
      <c r="D41" s="15">
        <v>0.52380952380952384</v>
      </c>
      <c r="E41" s="15">
        <v>0.52380952380952384</v>
      </c>
      <c r="F41" s="15">
        <v>0.52941176470588236</v>
      </c>
      <c r="G41" s="15">
        <v>0.52941176470588236</v>
      </c>
      <c r="I41" s="14" t="s">
        <v>168</v>
      </c>
      <c r="J41" s="15">
        <v>0.12</v>
      </c>
      <c r="K41" s="15">
        <v>0.12</v>
      </c>
      <c r="L41" s="15">
        <v>0.52380952380952384</v>
      </c>
      <c r="M41" s="15">
        <v>0.52941176470588236</v>
      </c>
      <c r="N41" s="15">
        <v>0.52941176470588236</v>
      </c>
      <c r="O41" s="15">
        <v>0.52941176470588236</v>
      </c>
    </row>
    <row r="42" spans="1:25" ht="10.5" x14ac:dyDescent="0.25">
      <c r="A42" s="14" t="s">
        <v>169</v>
      </c>
      <c r="B42" s="15">
        <v>0.12</v>
      </c>
      <c r="C42" s="15">
        <v>0.12</v>
      </c>
      <c r="D42" s="15">
        <v>0.38095238095238093</v>
      </c>
      <c r="E42" s="15">
        <v>0.38095238095238093</v>
      </c>
      <c r="F42" s="15">
        <v>0.44117647058823528</v>
      </c>
      <c r="G42" s="15">
        <v>0.44117647058823528</v>
      </c>
      <c r="I42" s="14" t="s">
        <v>169</v>
      </c>
      <c r="J42" s="15">
        <v>0.12</v>
      </c>
      <c r="K42" s="15">
        <v>0.12</v>
      </c>
      <c r="L42" s="15">
        <v>0.38095238095238093</v>
      </c>
      <c r="M42" s="15">
        <v>0.44117647058823528</v>
      </c>
      <c r="N42" s="15">
        <v>0.44117647058823528</v>
      </c>
      <c r="O42" s="15">
        <v>0.44117647058823528</v>
      </c>
    </row>
    <row r="43" spans="1:25" ht="10.5" x14ac:dyDescent="0.25">
      <c r="A43" s="14" t="s">
        <v>170</v>
      </c>
      <c r="B43" s="15">
        <v>0.72</v>
      </c>
      <c r="C43" s="15">
        <v>0.72</v>
      </c>
      <c r="D43" s="15">
        <v>0.2857142857142857</v>
      </c>
      <c r="E43" s="15">
        <v>0.2857142857142857</v>
      </c>
      <c r="F43" s="15">
        <v>0.94117647058823528</v>
      </c>
      <c r="G43" s="15">
        <v>0.94117647058823528</v>
      </c>
      <c r="I43" s="14" t="s">
        <v>170</v>
      </c>
      <c r="J43" s="15">
        <v>0.72</v>
      </c>
      <c r="K43" s="15">
        <v>0.72</v>
      </c>
      <c r="L43" s="15">
        <v>0.2857142857142857</v>
      </c>
      <c r="M43" s="15">
        <v>0.94117647058823528</v>
      </c>
      <c r="N43" s="15">
        <v>0.94117647058823528</v>
      </c>
      <c r="O43" s="15">
        <v>0.94117647058823528</v>
      </c>
    </row>
    <row r="44" spans="1:25" ht="10.5" x14ac:dyDescent="0.25">
      <c r="A44" s="14" t="s">
        <v>171</v>
      </c>
      <c r="B44" s="15">
        <v>0.16</v>
      </c>
      <c r="C44" s="15">
        <v>0.16</v>
      </c>
      <c r="D44" s="15">
        <v>0.14285714285714285</v>
      </c>
      <c r="E44" s="15">
        <v>0.14285714285714285</v>
      </c>
      <c r="F44" s="15">
        <v>0.17647058823529413</v>
      </c>
      <c r="G44" s="15">
        <v>0.17647058823529413</v>
      </c>
      <c r="I44" s="14" t="s">
        <v>171</v>
      </c>
      <c r="J44" s="15">
        <v>0.16</v>
      </c>
      <c r="K44" s="15">
        <v>0.16</v>
      </c>
      <c r="L44" s="15">
        <v>0.14285714285714285</v>
      </c>
      <c r="M44" s="15">
        <v>0.17647058823529413</v>
      </c>
      <c r="N44" s="15">
        <v>0.17647058823529413</v>
      </c>
      <c r="O44" s="15">
        <v>0.17647058823529413</v>
      </c>
    </row>
    <row r="45" spans="1:25" ht="10.5" x14ac:dyDescent="0.25">
      <c r="A45" s="17" t="s">
        <v>90</v>
      </c>
      <c r="B45" s="15">
        <v>0.12</v>
      </c>
      <c r="C45" s="15">
        <v>0.12</v>
      </c>
      <c r="D45" s="15">
        <v>0</v>
      </c>
      <c r="E45" s="15">
        <v>0</v>
      </c>
      <c r="F45" s="15">
        <v>0</v>
      </c>
      <c r="G45" s="15">
        <v>0</v>
      </c>
      <c r="I45" s="17" t="s">
        <v>90</v>
      </c>
      <c r="J45" s="15">
        <v>0.12</v>
      </c>
      <c r="K45" s="15">
        <v>0.12</v>
      </c>
      <c r="L45" s="15">
        <v>0</v>
      </c>
      <c r="M45" s="15">
        <v>0</v>
      </c>
      <c r="N45" s="15">
        <v>0</v>
      </c>
      <c r="O45" s="15">
        <v>0</v>
      </c>
    </row>
    <row r="46" spans="1:25" ht="10.5" x14ac:dyDescent="0.25">
      <c r="A46" s="12" t="s">
        <v>49</v>
      </c>
      <c r="B46" s="18">
        <v>1.36</v>
      </c>
      <c r="C46" s="18">
        <v>1.36</v>
      </c>
      <c r="D46" s="18">
        <v>2.1428571428571428</v>
      </c>
      <c r="E46" s="18">
        <v>2.1428571428571428</v>
      </c>
      <c r="F46" s="18">
        <v>3.7058823529411762</v>
      </c>
      <c r="G46" s="18">
        <v>3.7058823529411762</v>
      </c>
      <c r="I46" s="12" t="s">
        <v>49</v>
      </c>
      <c r="J46" s="18">
        <v>1.36</v>
      </c>
      <c r="K46" s="18">
        <v>1.36</v>
      </c>
      <c r="L46" s="18">
        <v>2.1428571428571428</v>
      </c>
      <c r="M46" s="18">
        <v>3.7058823529411762</v>
      </c>
      <c r="N46" s="18">
        <v>3.7058823529411762</v>
      </c>
      <c r="O46" s="18">
        <v>3.7058823529411762</v>
      </c>
    </row>
    <row r="48" spans="1:25" x14ac:dyDescent="0.2">
      <c r="A48" s="418" t="s">
        <v>205</v>
      </c>
      <c r="B48" s="418"/>
      <c r="C48" s="418"/>
      <c r="D48" s="418"/>
      <c r="E48" s="418"/>
      <c r="F48" s="418"/>
      <c r="G48" s="418"/>
      <c r="H48" s="418"/>
      <c r="I48" s="418"/>
      <c r="J48" s="418"/>
      <c r="K48" s="418"/>
      <c r="L48" s="418"/>
      <c r="M48" s="418"/>
      <c r="N48" s="418"/>
      <c r="O48" s="418"/>
      <c r="P48" s="418"/>
      <c r="Q48" s="418"/>
      <c r="R48" s="418"/>
      <c r="S48" s="418"/>
      <c r="T48" s="418"/>
      <c r="U48" s="418"/>
      <c r="V48" s="418"/>
      <c r="W48" s="418"/>
      <c r="X48" s="418"/>
      <c r="Y48" s="418"/>
    </row>
    <row r="49" spans="1:25" ht="10.5" x14ac:dyDescent="0.25">
      <c r="A49" s="424" t="s">
        <v>198</v>
      </c>
      <c r="B49" s="424"/>
      <c r="C49" s="424"/>
      <c r="D49" s="424"/>
      <c r="E49" s="424"/>
      <c r="F49" s="424"/>
      <c r="G49" s="424"/>
      <c r="H49" s="424"/>
      <c r="I49" s="424"/>
      <c r="J49" s="424"/>
      <c r="K49" s="424"/>
      <c r="L49" s="424"/>
      <c r="M49" s="424"/>
      <c r="N49" s="424"/>
      <c r="O49" s="424"/>
      <c r="P49" s="424"/>
      <c r="Q49" s="424"/>
      <c r="R49" s="424"/>
      <c r="S49" s="424"/>
      <c r="T49" s="424"/>
      <c r="U49" s="424"/>
      <c r="V49" s="424"/>
      <c r="W49" s="424"/>
      <c r="X49" s="424"/>
      <c r="Y49" s="424"/>
    </row>
    <row r="50" spans="1:25" x14ac:dyDescent="0.2">
      <c r="A50" s="425" t="s">
        <v>199</v>
      </c>
      <c r="B50" s="425"/>
      <c r="C50" s="425"/>
      <c r="D50" s="425"/>
      <c r="E50" s="425"/>
      <c r="F50" s="425"/>
      <c r="G50" s="425"/>
      <c r="H50" s="425"/>
      <c r="I50" s="425"/>
      <c r="J50" s="425"/>
      <c r="K50" s="425"/>
      <c r="L50" s="425"/>
      <c r="M50" s="425"/>
      <c r="N50" s="425"/>
      <c r="O50" s="425"/>
      <c r="P50" s="425"/>
      <c r="Q50" s="425"/>
      <c r="R50" s="425"/>
      <c r="S50" s="425"/>
      <c r="T50" s="425"/>
      <c r="U50" s="425"/>
      <c r="V50" s="425"/>
      <c r="W50" s="425"/>
      <c r="X50" s="425"/>
      <c r="Y50" s="425"/>
    </row>
    <row r="51" spans="1:25" x14ac:dyDescent="0.2">
      <c r="A51" s="418" t="s">
        <v>200</v>
      </c>
      <c r="B51" s="418"/>
      <c r="C51" s="418"/>
      <c r="D51" s="418"/>
      <c r="E51" s="418"/>
      <c r="F51" s="418"/>
      <c r="G51" s="418"/>
      <c r="H51" s="418"/>
      <c r="I51" s="418"/>
      <c r="J51" s="418"/>
      <c r="K51" s="418"/>
      <c r="L51" s="418"/>
      <c r="M51" s="418"/>
      <c r="N51" s="418"/>
      <c r="O51" s="418"/>
      <c r="P51" s="418"/>
      <c r="Q51" s="418"/>
      <c r="R51" s="418"/>
      <c r="S51" s="418"/>
      <c r="T51" s="418"/>
      <c r="U51" s="418"/>
      <c r="V51" s="418"/>
      <c r="W51" s="418"/>
      <c r="X51" s="418"/>
      <c r="Y51" s="418"/>
    </row>
    <row r="52" spans="1:25" x14ac:dyDescent="0.2">
      <c r="A52" s="418" t="s">
        <v>201</v>
      </c>
      <c r="B52" s="418"/>
      <c r="C52" s="418"/>
      <c r="D52" s="418"/>
      <c r="E52" s="418"/>
      <c r="F52" s="418"/>
      <c r="G52" s="418"/>
      <c r="H52" s="418"/>
      <c r="I52" s="418"/>
      <c r="J52" s="418"/>
      <c r="K52" s="418"/>
      <c r="L52" s="418"/>
      <c r="M52" s="418"/>
      <c r="N52" s="418"/>
      <c r="O52" s="418"/>
      <c r="P52" s="418"/>
      <c r="Q52" s="418"/>
      <c r="R52" s="418"/>
      <c r="S52" s="418"/>
      <c r="T52" s="418"/>
      <c r="U52" s="418"/>
      <c r="V52" s="418"/>
      <c r="W52" s="418"/>
      <c r="X52" s="418"/>
      <c r="Y52" s="418"/>
    </row>
  </sheetData>
  <mergeCells count="17">
    <mergeCell ref="A51:Y51"/>
    <mergeCell ref="A52:Y52"/>
    <mergeCell ref="A50:Y50"/>
    <mergeCell ref="A4:A5"/>
    <mergeCell ref="B4:G4"/>
    <mergeCell ref="I4:I5"/>
    <mergeCell ref="J4:O4"/>
    <mergeCell ref="A49:Y49"/>
    <mergeCell ref="A34:A35"/>
    <mergeCell ref="B34:G34"/>
    <mergeCell ref="I34:I35"/>
    <mergeCell ref="J34:O34"/>
    <mergeCell ref="A48:Y48"/>
    <mergeCell ref="J19:O19"/>
    <mergeCell ref="A19:A20"/>
    <mergeCell ref="B19:G19"/>
    <mergeCell ref="I19:I20"/>
  </mergeCells>
  <pageMargins left="0.75" right="0.75" top="1" bottom="1" header="0.5" footer="0.5"/>
  <pageSetup paperSize="8" orientation="landscape" r:id="rId1"/>
  <headerFooter alignWithMargins="0">
    <oddHeader>&amp;L&amp;"Calibri"&amp;10&amp;K000000Official&amp;1#</oddHead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4"/>
  <dimension ref="A1:B6"/>
  <sheetViews>
    <sheetView workbookViewId="0"/>
  </sheetViews>
  <sheetFormatPr defaultRowHeight="12.5" x14ac:dyDescent="0.25"/>
  <cols>
    <col min="1" max="1" width="22.26953125" customWidth="1"/>
    <col min="2" max="2" width="59.54296875" customWidth="1"/>
  </cols>
  <sheetData>
    <row r="1" spans="1:2" ht="13" x14ac:dyDescent="0.3">
      <c r="A1" s="2" t="s">
        <v>206</v>
      </c>
      <c r="B1" s="2" t="s">
        <v>207</v>
      </c>
    </row>
    <row r="2" spans="1:2" x14ac:dyDescent="0.25">
      <c r="A2" t="s">
        <v>208</v>
      </c>
      <c r="B2" t="s">
        <v>208</v>
      </c>
    </row>
    <row r="3" spans="1:2" x14ac:dyDescent="0.25">
      <c r="A3" t="s">
        <v>209</v>
      </c>
      <c r="B3" t="str">
        <f>""</f>
        <v/>
      </c>
    </row>
    <row r="4" spans="1:2" x14ac:dyDescent="0.25">
      <c r="A4" t="s">
        <v>210</v>
      </c>
      <c r="B4" t="s">
        <v>146</v>
      </c>
    </row>
    <row r="5" spans="1:2" x14ac:dyDescent="0.25">
      <c r="A5" t="s">
        <v>211</v>
      </c>
      <c r="B5" t="s">
        <v>9</v>
      </c>
    </row>
    <row r="6" spans="1:2" x14ac:dyDescent="0.25">
      <c r="A6" t="s">
        <v>212</v>
      </c>
      <c r="B6" t="s">
        <v>146</v>
      </c>
    </row>
  </sheetData>
  <pageMargins left="0.7" right="0.7" top="0.75" bottom="0.75" header="0.3" footer="0.3"/>
  <pageSetup paperSize="9" orientation="portrait" r:id="rId1"/>
  <headerFooter>
    <oddHeader>&amp;L&amp;"Calibri"&amp;10&amp;K000000Official&amp;1#</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autoPageBreaks="0"/>
  </sheetPr>
  <dimension ref="B2:Q52"/>
  <sheetViews>
    <sheetView zoomScale="85" zoomScaleNormal="85" workbookViewId="0">
      <selection activeCell="C7" sqref="C7:F7"/>
    </sheetView>
  </sheetViews>
  <sheetFormatPr defaultColWidth="9.1796875" defaultRowHeight="12.5" x14ac:dyDescent="0.25"/>
  <cols>
    <col min="1" max="2" width="2.7265625" customWidth="1"/>
    <col min="3" max="3" width="9.26953125" customWidth="1"/>
    <col min="4" max="5" width="9.1796875" customWidth="1"/>
    <col min="16" max="16" width="8.1796875" customWidth="1"/>
    <col min="17" max="17" width="2.7265625" customWidth="1"/>
  </cols>
  <sheetData>
    <row r="2" spans="2:17" x14ac:dyDescent="0.25">
      <c r="B2" s="73"/>
      <c r="C2" s="74"/>
      <c r="D2" s="74"/>
      <c r="E2" s="74"/>
      <c r="F2" s="74"/>
      <c r="G2" s="74"/>
      <c r="H2" s="74"/>
      <c r="I2" s="74"/>
      <c r="J2" s="74"/>
      <c r="K2" s="74"/>
      <c r="L2" s="74"/>
      <c r="M2" s="74"/>
      <c r="N2" s="74"/>
      <c r="O2" s="74"/>
      <c r="P2" s="74"/>
      <c r="Q2" s="75"/>
    </row>
    <row r="3" spans="2:17" ht="41.5" customHeight="1" x14ac:dyDescent="0.4">
      <c r="B3" s="76"/>
      <c r="C3" s="228" t="s">
        <v>0</v>
      </c>
      <c r="D3" s="228"/>
      <c r="E3" s="228"/>
      <c r="F3" s="228"/>
      <c r="G3" s="228"/>
      <c r="H3" s="228"/>
      <c r="I3" s="228"/>
      <c r="J3" s="228"/>
      <c r="K3" s="228"/>
      <c r="L3" s="228"/>
      <c r="M3" s="228"/>
      <c r="N3" s="228"/>
      <c r="O3" s="228"/>
      <c r="P3" s="228"/>
      <c r="Q3" s="77"/>
    </row>
    <row r="4" spans="2:17" ht="13" customHeight="1" x14ac:dyDescent="0.25">
      <c r="B4" s="76"/>
      <c r="Q4" s="77"/>
    </row>
    <row r="5" spans="2:17" ht="19" thickBot="1" x14ac:dyDescent="0.4">
      <c r="B5" s="78"/>
      <c r="C5" s="87" t="s">
        <v>1</v>
      </c>
      <c r="D5" s="79"/>
      <c r="E5" s="79"/>
      <c r="F5" s="79"/>
      <c r="G5" s="79"/>
      <c r="H5" s="79"/>
      <c r="I5" s="79"/>
      <c r="J5" s="79"/>
      <c r="K5" s="79"/>
      <c r="L5" s="79"/>
      <c r="M5" s="79"/>
      <c r="N5" s="79"/>
      <c r="O5" s="79"/>
      <c r="P5" s="79"/>
      <c r="Q5" s="80"/>
    </row>
    <row r="6" spans="2:17" ht="13" customHeight="1" thickTop="1" x14ac:dyDescent="0.25">
      <c r="B6" s="76"/>
      <c r="Q6" s="77"/>
    </row>
    <row r="7" spans="2:17" ht="13" customHeight="1" x14ac:dyDescent="0.25">
      <c r="B7" s="76"/>
      <c r="C7" s="229" t="s">
        <v>3</v>
      </c>
      <c r="D7" s="229"/>
      <c r="E7" s="229"/>
      <c r="F7" s="229"/>
      <c r="Q7" s="77"/>
    </row>
    <row r="8" spans="2:17" ht="6" customHeight="1" x14ac:dyDescent="0.25">
      <c r="B8" s="76"/>
      <c r="C8" s="230"/>
      <c r="D8" s="230"/>
      <c r="E8" s="230"/>
      <c r="F8" s="230"/>
      <c r="Q8" s="77"/>
    </row>
    <row r="9" spans="2:17" ht="13" customHeight="1" x14ac:dyDescent="0.25">
      <c r="B9" s="76"/>
      <c r="C9" s="229" t="s">
        <v>4</v>
      </c>
      <c r="D9" s="229"/>
      <c r="E9" s="229"/>
      <c r="F9" s="229"/>
      <c r="Q9" s="77"/>
    </row>
    <row r="10" spans="2:17" ht="6" customHeight="1" x14ac:dyDescent="0.25">
      <c r="B10" s="76"/>
      <c r="C10" s="230"/>
      <c r="D10" s="230"/>
      <c r="E10" s="230"/>
      <c r="F10" s="230"/>
      <c r="Q10" s="77"/>
    </row>
    <row r="11" spans="2:17" ht="13" customHeight="1" x14ac:dyDescent="0.25">
      <c r="B11" s="76"/>
      <c r="C11" s="453" t="s">
        <v>5</v>
      </c>
      <c r="D11" s="453"/>
      <c r="E11" s="453"/>
      <c r="F11" s="453"/>
      <c r="Q11" s="77"/>
    </row>
    <row r="12" spans="2:17" ht="6" customHeight="1" thickBot="1" x14ac:dyDescent="0.3">
      <c r="B12" s="76"/>
      <c r="C12" s="232"/>
      <c r="D12" s="232"/>
      <c r="E12" s="232"/>
      <c r="F12" s="232"/>
      <c r="Q12" s="77" t="s">
        <v>6</v>
      </c>
    </row>
    <row r="13" spans="2:17" ht="26.5" customHeight="1" thickBot="1" x14ac:dyDescent="0.3">
      <c r="B13" s="76"/>
      <c r="C13" s="233" t="s">
        <v>7</v>
      </c>
      <c r="D13" s="233"/>
      <c r="E13" s="233"/>
      <c r="F13" s="233"/>
      <c r="G13" s="233"/>
      <c r="H13" s="233"/>
      <c r="I13" s="231" t="s">
        <v>8</v>
      </c>
      <c r="J13" s="231"/>
      <c r="K13" s="231"/>
      <c r="L13" s="231"/>
      <c r="M13" s="231"/>
      <c r="N13" s="231"/>
      <c r="O13" s="231"/>
      <c r="P13" s="231"/>
      <c r="Q13" s="77"/>
    </row>
    <row r="14" spans="2:17" x14ac:dyDescent="0.25">
      <c r="B14" s="76"/>
      <c r="C14" s="437">
        <v>2</v>
      </c>
      <c r="D14" s="240" t="s">
        <v>214</v>
      </c>
      <c r="E14" s="240"/>
      <c r="F14" s="240"/>
      <c r="G14" s="240"/>
      <c r="H14" s="240"/>
      <c r="I14" s="234"/>
      <c r="J14" s="234"/>
      <c r="K14" s="234"/>
      <c r="L14" s="234"/>
      <c r="M14" s="234"/>
      <c r="N14" s="234"/>
      <c r="O14" s="234"/>
      <c r="P14" s="234"/>
      <c r="Q14" s="77"/>
    </row>
    <row r="15" spans="2:17" x14ac:dyDescent="0.25">
      <c r="B15" s="76"/>
      <c r="C15" s="438">
        <v>2.1</v>
      </c>
      <c r="D15" s="243" t="s">
        <v>215</v>
      </c>
      <c r="E15" s="243"/>
      <c r="F15" s="243"/>
      <c r="G15" s="243"/>
      <c r="H15" s="243"/>
      <c r="I15" s="239" t="s">
        <v>11</v>
      </c>
      <c r="J15" s="239"/>
      <c r="K15" s="239"/>
      <c r="L15" s="239"/>
      <c r="M15" s="239"/>
      <c r="N15" s="239"/>
      <c r="O15" s="239"/>
      <c r="P15" s="239"/>
      <c r="Q15" s="77"/>
    </row>
    <row r="16" spans="2:17" x14ac:dyDescent="0.25">
      <c r="B16" s="76"/>
      <c r="C16" s="439">
        <v>2.13</v>
      </c>
      <c r="D16" s="243" t="s">
        <v>216</v>
      </c>
      <c r="E16" s="243"/>
      <c r="F16" s="243"/>
      <c r="G16" s="243"/>
      <c r="H16" s="243"/>
      <c r="I16" s="236" t="s">
        <v>237</v>
      </c>
      <c r="J16" s="236"/>
      <c r="K16" s="236"/>
      <c r="L16" s="236"/>
      <c r="M16" s="236"/>
      <c r="N16" s="236"/>
      <c r="O16" s="236"/>
      <c r="P16" s="236"/>
      <c r="Q16" s="77"/>
    </row>
    <row r="17" spans="2:17" ht="15" customHeight="1" x14ac:dyDescent="0.25">
      <c r="B17" s="76"/>
      <c r="C17" s="440">
        <v>4</v>
      </c>
      <c r="D17" s="245" t="s">
        <v>217</v>
      </c>
      <c r="E17" s="245"/>
      <c r="F17" s="245"/>
      <c r="G17" s="245"/>
      <c r="H17" s="245"/>
      <c r="I17" s="235" t="s">
        <v>368</v>
      </c>
      <c r="J17" s="235"/>
      <c r="K17" s="235"/>
      <c r="L17" s="235"/>
      <c r="M17" s="235"/>
      <c r="N17" s="235"/>
      <c r="O17" s="235"/>
      <c r="P17" s="235"/>
      <c r="Q17" s="77"/>
    </row>
    <row r="18" spans="2:17" x14ac:dyDescent="0.25">
      <c r="B18" s="76"/>
      <c r="C18" s="441">
        <v>5</v>
      </c>
      <c r="D18" s="244" t="s">
        <v>218</v>
      </c>
      <c r="E18" s="244"/>
      <c r="F18" s="244"/>
      <c r="G18" s="244"/>
      <c r="H18" s="244"/>
      <c r="Q18" s="77"/>
    </row>
    <row r="19" spans="2:17" x14ac:dyDescent="0.25">
      <c r="B19" s="76"/>
      <c r="C19" s="439">
        <v>5.0999999999999996</v>
      </c>
      <c r="D19" s="243" t="s">
        <v>21</v>
      </c>
      <c r="E19" s="243"/>
      <c r="F19" s="243"/>
      <c r="G19" s="243"/>
      <c r="H19" s="243"/>
      <c r="I19" s="236" t="s">
        <v>237</v>
      </c>
      <c r="J19" s="236"/>
      <c r="K19" s="236"/>
      <c r="L19" s="236"/>
      <c r="M19" s="236"/>
      <c r="N19" s="236"/>
      <c r="O19" s="236"/>
      <c r="P19" s="236"/>
      <c r="Q19" s="77"/>
    </row>
    <row r="20" spans="2:17" x14ac:dyDescent="0.25">
      <c r="B20" s="76"/>
      <c r="C20" s="442">
        <v>5.0999999999999996</v>
      </c>
      <c r="D20" s="242" t="s">
        <v>22</v>
      </c>
      <c r="E20" s="242"/>
      <c r="F20" s="242"/>
      <c r="G20" s="242"/>
      <c r="H20" s="242"/>
      <c r="I20" s="238" t="s">
        <v>237</v>
      </c>
      <c r="J20" s="238"/>
      <c r="K20" s="238"/>
      <c r="L20" s="238"/>
      <c r="M20" s="238"/>
      <c r="N20" s="238"/>
      <c r="O20" s="238"/>
      <c r="P20" s="238"/>
      <c r="Q20" s="77"/>
    </row>
    <row r="21" spans="2:17" x14ac:dyDescent="0.25">
      <c r="B21" s="76"/>
      <c r="C21" s="441">
        <v>6</v>
      </c>
      <c r="D21" s="244" t="s">
        <v>219</v>
      </c>
      <c r="E21" s="244"/>
      <c r="F21" s="244"/>
      <c r="G21" s="244"/>
      <c r="H21" s="244"/>
      <c r="I21" s="236"/>
      <c r="J21" s="236"/>
      <c r="K21" s="236"/>
      <c r="L21" s="236"/>
      <c r="M21" s="236"/>
      <c r="N21" s="236"/>
      <c r="O21" s="236"/>
      <c r="P21" s="236"/>
      <c r="Q21" s="77"/>
    </row>
    <row r="22" spans="2:17" ht="12.5" customHeight="1" x14ac:dyDescent="0.25">
      <c r="B22" s="76"/>
      <c r="C22" s="439">
        <v>6.1</v>
      </c>
      <c r="D22" s="243" t="s">
        <v>220</v>
      </c>
      <c r="E22" s="243"/>
      <c r="F22" s="243"/>
      <c r="G22" s="243"/>
      <c r="H22" s="243"/>
      <c r="I22" s="239" t="s">
        <v>12</v>
      </c>
      <c r="J22" s="239"/>
      <c r="K22" s="239"/>
      <c r="L22" s="239"/>
      <c r="M22" s="239"/>
      <c r="N22" s="239"/>
      <c r="O22" s="239"/>
      <c r="P22" s="239"/>
      <c r="Q22" s="77"/>
    </row>
    <row r="23" spans="2:17" x14ac:dyDescent="0.25">
      <c r="B23" s="76"/>
      <c r="C23" s="439">
        <v>6.11</v>
      </c>
      <c r="D23" s="243" t="s">
        <v>19</v>
      </c>
      <c r="E23" s="243"/>
      <c r="F23" s="243"/>
      <c r="G23" s="243"/>
      <c r="H23" s="243"/>
      <c r="I23" s="236" t="s">
        <v>368</v>
      </c>
      <c r="J23" s="236"/>
      <c r="K23" s="236"/>
      <c r="L23" s="236"/>
      <c r="M23" s="236"/>
      <c r="N23" s="236"/>
      <c r="O23" s="236"/>
      <c r="P23" s="236"/>
      <c r="Q23" s="77"/>
    </row>
    <row r="24" spans="2:17" x14ac:dyDescent="0.25">
      <c r="B24" s="76"/>
      <c r="C24" s="439">
        <v>6.18</v>
      </c>
      <c r="D24" s="243" t="s">
        <v>221</v>
      </c>
      <c r="E24" s="243"/>
      <c r="F24" s="243"/>
      <c r="G24" s="243"/>
      <c r="H24" s="243"/>
      <c r="I24" s="236" t="s">
        <v>237</v>
      </c>
      <c r="J24" s="236"/>
      <c r="K24" s="236"/>
      <c r="L24" s="236"/>
      <c r="M24" s="236"/>
      <c r="N24" s="236"/>
      <c r="O24" s="236"/>
      <c r="P24" s="236"/>
      <c r="Q24" s="77"/>
    </row>
    <row r="25" spans="2:17" x14ac:dyDescent="0.25">
      <c r="B25" s="76"/>
      <c r="C25" s="439">
        <v>6.29</v>
      </c>
      <c r="D25" s="243" t="s">
        <v>222</v>
      </c>
      <c r="E25" s="243"/>
      <c r="F25" s="243"/>
      <c r="G25" s="243"/>
      <c r="H25" s="243"/>
      <c r="I25" s="236" t="s">
        <v>237</v>
      </c>
      <c r="J25" s="236"/>
      <c r="K25" s="236"/>
      <c r="L25" s="236"/>
      <c r="M25" s="236"/>
      <c r="N25" s="236"/>
      <c r="O25" s="236"/>
      <c r="P25" s="236"/>
      <c r="Q25" s="77"/>
    </row>
    <row r="26" spans="2:17" x14ac:dyDescent="0.25">
      <c r="B26" s="76"/>
      <c r="C26" s="439">
        <v>6.34</v>
      </c>
      <c r="D26" s="243" t="s">
        <v>20</v>
      </c>
      <c r="E26" s="243"/>
      <c r="F26" s="243"/>
      <c r="G26" s="243"/>
      <c r="H26" s="243"/>
      <c r="I26" s="238" t="s">
        <v>368</v>
      </c>
      <c r="J26" s="238"/>
      <c r="K26" s="238"/>
      <c r="L26" s="238"/>
      <c r="M26" s="238"/>
      <c r="N26" s="238"/>
      <c r="O26" s="238"/>
      <c r="P26" s="238"/>
      <c r="Q26" s="77"/>
    </row>
    <row r="27" spans="2:17" x14ac:dyDescent="0.25">
      <c r="B27" s="76"/>
      <c r="C27" s="437">
        <v>7</v>
      </c>
      <c r="D27" s="240" t="s">
        <v>223</v>
      </c>
      <c r="E27" s="240"/>
      <c r="F27" s="240"/>
      <c r="G27" s="240"/>
      <c r="H27" s="240"/>
      <c r="I27" s="236"/>
      <c r="J27" s="236"/>
      <c r="K27" s="236"/>
      <c r="L27" s="236"/>
      <c r="M27" s="236"/>
      <c r="N27" s="236"/>
      <c r="O27" s="236"/>
      <c r="P27" s="236"/>
      <c r="Q27" s="77"/>
    </row>
    <row r="28" spans="2:17" ht="12.5" customHeight="1" x14ac:dyDescent="0.25">
      <c r="B28" s="76"/>
      <c r="C28" s="438">
        <v>7.1</v>
      </c>
      <c r="D28" s="243" t="s">
        <v>224</v>
      </c>
      <c r="E28" s="243"/>
      <c r="F28" s="243"/>
      <c r="G28" s="243"/>
      <c r="H28" s="243"/>
      <c r="I28" s="236" t="s">
        <v>368</v>
      </c>
      <c r="J28" s="236"/>
      <c r="K28" s="236"/>
      <c r="L28" s="236"/>
      <c r="M28" s="236"/>
      <c r="N28" s="236"/>
      <c r="O28" s="236"/>
      <c r="P28" s="236"/>
      <c r="Q28" s="77"/>
    </row>
    <row r="29" spans="2:17" x14ac:dyDescent="0.25">
      <c r="B29" s="76"/>
      <c r="C29" s="438">
        <v>7.25</v>
      </c>
      <c r="D29" s="243" t="s">
        <v>15</v>
      </c>
      <c r="E29" s="243"/>
      <c r="F29" s="243"/>
      <c r="G29" s="243"/>
      <c r="H29" s="243"/>
      <c r="I29" s="237" t="s">
        <v>13</v>
      </c>
      <c r="J29" s="237"/>
      <c r="K29" s="237"/>
      <c r="L29" s="237"/>
      <c r="M29" s="237"/>
      <c r="N29" s="237"/>
      <c r="O29" s="237"/>
      <c r="P29" s="237"/>
      <c r="Q29" s="77"/>
    </row>
    <row r="30" spans="2:17" x14ac:dyDescent="0.25">
      <c r="B30" s="76"/>
      <c r="C30" s="438">
        <v>7.43</v>
      </c>
      <c r="D30" s="243" t="s">
        <v>225</v>
      </c>
      <c r="E30" s="243"/>
      <c r="F30" s="243"/>
      <c r="G30" s="243"/>
      <c r="H30" s="243"/>
      <c r="I30" s="236" t="s">
        <v>368</v>
      </c>
      <c r="J30" s="236"/>
      <c r="K30" s="236"/>
      <c r="L30" s="236"/>
      <c r="M30" s="236"/>
      <c r="N30" s="236"/>
      <c r="O30" s="236"/>
      <c r="P30" s="236"/>
      <c r="Q30" s="77"/>
    </row>
    <row r="31" spans="2:17" x14ac:dyDescent="0.25">
      <c r="B31" s="76"/>
      <c r="C31" s="438">
        <v>7.5</v>
      </c>
      <c r="D31" s="243" t="s">
        <v>18</v>
      </c>
      <c r="E31" s="243"/>
      <c r="F31" s="243"/>
      <c r="G31" s="243"/>
      <c r="H31" s="243"/>
      <c r="I31" s="236" t="s">
        <v>368</v>
      </c>
      <c r="J31" s="236"/>
      <c r="K31" s="236"/>
      <c r="L31" s="236"/>
      <c r="M31" s="236"/>
      <c r="N31" s="236"/>
      <c r="O31" s="236"/>
      <c r="P31" s="236"/>
      <c r="Q31" s="77"/>
    </row>
    <row r="32" spans="2:17" x14ac:dyDescent="0.25">
      <c r="B32" s="76"/>
      <c r="C32" s="442">
        <v>7.59</v>
      </c>
      <c r="D32" s="242" t="s">
        <v>226</v>
      </c>
      <c r="E32" s="242"/>
      <c r="F32" s="242"/>
      <c r="G32" s="242"/>
      <c r="H32" s="242"/>
      <c r="I32" s="238" t="s">
        <v>237</v>
      </c>
      <c r="J32" s="238"/>
      <c r="K32" s="238"/>
      <c r="L32" s="238"/>
      <c r="M32" s="238"/>
      <c r="N32" s="238"/>
      <c r="O32" s="238"/>
      <c r="P32" s="238"/>
      <c r="Q32" s="77"/>
    </row>
    <row r="33" spans="2:17" x14ac:dyDescent="0.25">
      <c r="B33" s="76"/>
      <c r="C33" s="441">
        <v>8</v>
      </c>
      <c r="D33" s="244" t="s">
        <v>227</v>
      </c>
      <c r="E33" s="244"/>
      <c r="F33" s="244"/>
      <c r="G33" s="244"/>
      <c r="H33" s="244"/>
      <c r="I33" s="236"/>
      <c r="J33" s="236"/>
      <c r="K33" s="236"/>
      <c r="L33" s="236"/>
      <c r="M33" s="236"/>
      <c r="N33" s="236"/>
      <c r="O33" s="236"/>
      <c r="P33" s="236"/>
      <c r="Q33" s="77"/>
    </row>
    <row r="34" spans="2:17" x14ac:dyDescent="0.25">
      <c r="B34" s="76"/>
      <c r="C34" s="445">
        <v>8.1</v>
      </c>
      <c r="D34" s="243" t="s">
        <v>228</v>
      </c>
      <c r="E34" s="243"/>
      <c r="F34" s="243"/>
      <c r="G34" s="243"/>
      <c r="H34" s="243"/>
      <c r="I34" s="454" t="s">
        <v>14</v>
      </c>
      <c r="J34" s="454"/>
      <c r="K34" s="454"/>
      <c r="L34" s="454"/>
      <c r="M34" s="454"/>
      <c r="N34" s="454"/>
      <c r="O34" s="454"/>
      <c r="P34" s="454"/>
      <c r="Q34" s="77"/>
    </row>
    <row r="35" spans="2:17" ht="12.5" customHeight="1" x14ac:dyDescent="0.25">
      <c r="B35" s="76"/>
      <c r="C35" s="439">
        <v>8.14</v>
      </c>
      <c r="D35" s="243" t="s">
        <v>229</v>
      </c>
      <c r="E35" s="243"/>
      <c r="F35" s="243"/>
      <c r="G35" s="243"/>
      <c r="H35" s="243"/>
      <c r="I35" s="239" t="s">
        <v>16</v>
      </c>
      <c r="J35" s="239"/>
      <c r="K35" s="239"/>
      <c r="L35" s="239"/>
      <c r="M35" s="239"/>
      <c r="N35" s="239"/>
      <c r="O35" s="239"/>
      <c r="P35" s="239"/>
      <c r="Q35" s="77"/>
    </row>
    <row r="36" spans="2:17" ht="26" customHeight="1" x14ac:dyDescent="0.25">
      <c r="B36" s="76"/>
      <c r="C36" s="439">
        <v>8.31</v>
      </c>
      <c r="D36" s="242" t="s">
        <v>230</v>
      </c>
      <c r="E36" s="242"/>
      <c r="F36" s="242"/>
      <c r="G36" s="242"/>
      <c r="H36" s="242"/>
      <c r="I36" s="238" t="s">
        <v>368</v>
      </c>
      <c r="J36" s="238"/>
      <c r="K36" s="238"/>
      <c r="L36" s="238"/>
      <c r="M36" s="238"/>
      <c r="N36" s="238"/>
      <c r="O36" s="238"/>
      <c r="P36" s="238"/>
      <c r="Q36" s="77"/>
    </row>
    <row r="37" spans="2:17" ht="26.5" customHeight="1" x14ac:dyDescent="0.25">
      <c r="B37" s="76"/>
      <c r="C37" s="437">
        <v>9</v>
      </c>
      <c r="D37" s="240" t="s">
        <v>231</v>
      </c>
      <c r="E37" s="240"/>
      <c r="F37" s="240"/>
      <c r="G37" s="240"/>
      <c r="H37" s="240"/>
      <c r="I37" s="236"/>
      <c r="J37" s="236"/>
      <c r="K37" s="236"/>
      <c r="L37" s="236"/>
      <c r="M37" s="236"/>
      <c r="N37" s="236"/>
      <c r="O37" s="236"/>
      <c r="P37" s="236"/>
      <c r="Q37" s="77"/>
    </row>
    <row r="38" spans="2:17" ht="14.5" customHeight="1" x14ac:dyDescent="0.25">
      <c r="B38" s="76"/>
      <c r="C38" s="447">
        <v>9.1</v>
      </c>
      <c r="D38" s="242" t="s">
        <v>232</v>
      </c>
      <c r="E38" s="242"/>
      <c r="F38" s="242"/>
      <c r="G38" s="242"/>
      <c r="H38" s="242"/>
      <c r="I38" s="236" t="s">
        <v>368</v>
      </c>
      <c r="J38" s="236"/>
      <c r="K38" s="236"/>
      <c r="L38" s="236"/>
      <c r="M38" s="236"/>
      <c r="N38" s="236"/>
      <c r="O38" s="236"/>
      <c r="P38" s="236"/>
      <c r="Q38" s="77"/>
    </row>
    <row r="39" spans="2:17" x14ac:dyDescent="0.25">
      <c r="B39" s="76"/>
      <c r="C39" s="437">
        <v>10</v>
      </c>
      <c r="D39" s="240" t="s">
        <v>233</v>
      </c>
      <c r="E39" s="240"/>
      <c r="F39" s="240"/>
      <c r="G39" s="240"/>
      <c r="H39" s="240"/>
      <c r="I39" s="234"/>
      <c r="J39" s="234"/>
      <c r="K39" s="234"/>
      <c r="L39" s="234"/>
      <c r="M39" s="234"/>
      <c r="N39" s="234"/>
      <c r="O39" s="234"/>
      <c r="P39" s="234"/>
      <c r="Q39" s="77"/>
    </row>
    <row r="40" spans="2:17" x14ac:dyDescent="0.25">
      <c r="B40" s="76"/>
      <c r="C40" s="447">
        <v>10.1</v>
      </c>
      <c r="D40" s="242" t="s">
        <v>233</v>
      </c>
      <c r="E40" s="242"/>
      <c r="F40" s="242"/>
      <c r="G40" s="242"/>
      <c r="H40" s="242"/>
      <c r="I40" s="238" t="s">
        <v>237</v>
      </c>
      <c r="J40" s="238"/>
      <c r="K40" s="238"/>
      <c r="L40" s="238"/>
      <c r="M40" s="238"/>
      <c r="N40" s="238"/>
      <c r="O40" s="238"/>
      <c r="P40" s="238"/>
      <c r="Q40" s="77"/>
    </row>
    <row r="41" spans="2:17" ht="27" customHeight="1" x14ac:dyDescent="0.25">
      <c r="B41" s="76"/>
      <c r="C41" s="441">
        <v>11</v>
      </c>
      <c r="D41" s="244" t="s">
        <v>234</v>
      </c>
      <c r="E41" s="244"/>
      <c r="F41" s="244"/>
      <c r="G41" s="244"/>
      <c r="H41" s="244"/>
      <c r="I41" s="236"/>
      <c r="J41" s="236"/>
      <c r="K41" s="236"/>
      <c r="L41" s="236"/>
      <c r="M41" s="236"/>
      <c r="N41" s="236"/>
      <c r="O41" s="236"/>
      <c r="P41" s="236"/>
      <c r="Q41" s="77"/>
    </row>
    <row r="42" spans="2:17" ht="13" customHeight="1" x14ac:dyDescent="0.25">
      <c r="B42" s="76"/>
      <c r="C42" s="439">
        <v>11.1</v>
      </c>
      <c r="D42" s="243" t="s">
        <v>235</v>
      </c>
      <c r="E42" s="243"/>
      <c r="F42" s="243"/>
      <c r="G42" s="243"/>
      <c r="H42" s="243"/>
      <c r="I42" s="236" t="s">
        <v>237</v>
      </c>
      <c r="J42" s="236"/>
      <c r="K42" s="236"/>
      <c r="L42" s="236"/>
      <c r="M42" s="236"/>
      <c r="N42" s="236"/>
      <c r="O42" s="236"/>
      <c r="P42" s="236"/>
      <c r="Q42" s="77"/>
    </row>
    <row r="43" spans="2:17" ht="13" customHeight="1" x14ac:dyDescent="0.25">
      <c r="B43" s="76"/>
      <c r="C43" s="443">
        <v>11.13</v>
      </c>
      <c r="D43" s="243" t="s">
        <v>236</v>
      </c>
      <c r="E43" s="243"/>
      <c r="F43" s="243"/>
      <c r="G43" s="243"/>
      <c r="H43" s="243"/>
      <c r="I43" s="247" t="s">
        <v>331</v>
      </c>
      <c r="J43" s="247"/>
      <c r="K43" s="247"/>
      <c r="L43" s="247"/>
      <c r="M43" s="247"/>
      <c r="N43" s="247"/>
      <c r="O43" s="247"/>
      <c r="P43" s="247"/>
      <c r="Q43" s="77"/>
    </row>
    <row r="44" spans="2:17" ht="13" customHeight="1" x14ac:dyDescent="0.25">
      <c r="B44" s="76"/>
      <c r="C44" s="443"/>
      <c r="D44" s="243"/>
      <c r="E44" s="243"/>
      <c r="F44" s="243"/>
      <c r="G44" s="243"/>
      <c r="H44" s="243"/>
      <c r="I44" s="247"/>
      <c r="J44" s="247"/>
      <c r="K44" s="247"/>
      <c r="L44" s="247"/>
      <c r="M44" s="247"/>
      <c r="N44" s="247"/>
      <c r="O44" s="247"/>
      <c r="P44" s="247"/>
      <c r="Q44" s="77"/>
    </row>
    <row r="45" spans="2:17" ht="14" customHeight="1" thickBot="1" x14ac:dyDescent="0.3">
      <c r="B45" s="76"/>
      <c r="C45" s="449"/>
      <c r="D45" s="246"/>
      <c r="E45" s="246"/>
      <c r="F45" s="246"/>
      <c r="G45" s="246"/>
      <c r="H45" s="246"/>
      <c r="I45" s="248"/>
      <c r="J45" s="248"/>
      <c r="K45" s="248"/>
      <c r="L45" s="248"/>
      <c r="M45" s="248"/>
      <c r="N45" s="248"/>
      <c r="O45" s="248"/>
      <c r="P45" s="248"/>
      <c r="Q45" s="77"/>
    </row>
    <row r="46" spans="2:17" ht="12.5" customHeight="1" x14ac:dyDescent="0.25">
      <c r="B46" s="76"/>
      <c r="C46" s="81"/>
      <c r="Q46" s="77"/>
    </row>
    <row r="47" spans="2:17" x14ac:dyDescent="0.25">
      <c r="B47" s="76"/>
      <c r="C47" s="241" t="s">
        <v>23</v>
      </c>
      <c r="D47" s="241"/>
      <c r="E47" s="241"/>
      <c r="F47" s="241"/>
      <c r="Q47" s="77"/>
    </row>
    <row r="48" spans="2:17" x14ac:dyDescent="0.25">
      <c r="B48" s="76"/>
      <c r="C48" s="81"/>
      <c r="Q48" s="77"/>
    </row>
    <row r="49" spans="2:17" x14ac:dyDescent="0.25">
      <c r="B49" s="76"/>
      <c r="C49" s="148" t="s">
        <v>366</v>
      </c>
      <c r="Q49" s="77"/>
    </row>
    <row r="50" spans="2:17" x14ac:dyDescent="0.25">
      <c r="B50" s="76"/>
      <c r="C50" s="83" t="s">
        <v>213</v>
      </c>
      <c r="Q50" s="77"/>
    </row>
    <row r="51" spans="2:17" x14ac:dyDescent="0.25">
      <c r="B51" s="76"/>
      <c r="C51" s="82" t="s">
        <v>367</v>
      </c>
      <c r="Q51" s="77"/>
    </row>
    <row r="52" spans="2:17" x14ac:dyDescent="0.25">
      <c r="B52" s="84"/>
      <c r="C52" s="85"/>
      <c r="D52" s="85"/>
      <c r="E52" s="85"/>
      <c r="F52" s="85"/>
      <c r="G52" s="85"/>
      <c r="H52" s="85"/>
      <c r="I52" s="85"/>
      <c r="J52" s="85"/>
      <c r="K52" s="85"/>
      <c r="L52" s="85"/>
      <c r="M52" s="85"/>
      <c r="N52" s="85"/>
      <c r="O52" s="85"/>
      <c r="P52" s="85"/>
      <c r="Q52" s="86"/>
    </row>
  </sheetData>
  <sheetProtection selectLockedCells="1"/>
  <mergeCells count="70">
    <mergeCell ref="D43:H45"/>
    <mergeCell ref="I43:P45"/>
    <mergeCell ref="I34:P34"/>
    <mergeCell ref="D42:H42"/>
    <mergeCell ref="D32:H32"/>
    <mergeCell ref="I28:P28"/>
    <mergeCell ref="I22:P22"/>
    <mergeCell ref="I30:P30"/>
    <mergeCell ref="I31:P31"/>
    <mergeCell ref="I32:P32"/>
    <mergeCell ref="I42:P42"/>
    <mergeCell ref="D40:H40"/>
    <mergeCell ref="I40:P40"/>
    <mergeCell ref="D33:H33"/>
    <mergeCell ref="D25:H25"/>
    <mergeCell ref="D26:H26"/>
    <mergeCell ref="D22:H22"/>
    <mergeCell ref="D21:H21"/>
    <mergeCell ref="D27:H27"/>
    <mergeCell ref="D17:H17"/>
    <mergeCell ref="D18:H18"/>
    <mergeCell ref="D20:H20"/>
    <mergeCell ref="I23:P23"/>
    <mergeCell ref="I24:P24"/>
    <mergeCell ref="D23:H23"/>
    <mergeCell ref="D24:H24"/>
    <mergeCell ref="D14:H14"/>
    <mergeCell ref="C47:F47"/>
    <mergeCell ref="D36:H36"/>
    <mergeCell ref="D38:H38"/>
    <mergeCell ref="D34:H34"/>
    <mergeCell ref="D35:H35"/>
    <mergeCell ref="D37:H37"/>
    <mergeCell ref="D39:H39"/>
    <mergeCell ref="D41:H41"/>
    <mergeCell ref="D15:H15"/>
    <mergeCell ref="D16:H16"/>
    <mergeCell ref="D28:H28"/>
    <mergeCell ref="D29:H29"/>
    <mergeCell ref="D30:H30"/>
    <mergeCell ref="D31:H31"/>
    <mergeCell ref="D19:H19"/>
    <mergeCell ref="I36:P36"/>
    <mergeCell ref="I37:P37"/>
    <mergeCell ref="I38:P38"/>
    <mergeCell ref="I15:P15"/>
    <mergeCell ref="I35:P35"/>
    <mergeCell ref="I16:P16"/>
    <mergeCell ref="I20:P20"/>
    <mergeCell ref="I25:P25"/>
    <mergeCell ref="I26:P26"/>
    <mergeCell ref="I21:P21"/>
    <mergeCell ref="I19:P19"/>
    <mergeCell ref="I27:P27"/>
    <mergeCell ref="I33:P33"/>
    <mergeCell ref="I29:P29"/>
    <mergeCell ref="C43:C45"/>
    <mergeCell ref="C3:P3"/>
    <mergeCell ref="C7:F7"/>
    <mergeCell ref="C8:F8"/>
    <mergeCell ref="I13:P13"/>
    <mergeCell ref="C9:F9"/>
    <mergeCell ref="C10:F10"/>
    <mergeCell ref="C11:F11"/>
    <mergeCell ref="C12:F12"/>
    <mergeCell ref="C13:H13"/>
    <mergeCell ref="I14:P14"/>
    <mergeCell ref="I17:P17"/>
    <mergeCell ref="I39:P39"/>
    <mergeCell ref="I41:P41"/>
  </mergeCells>
  <hyperlinks>
    <hyperlink ref="C7:F7" location="'Application Details'!A1" display="Application Details" xr:uid="{00000000-0004-0000-0000-000001000000}"/>
    <hyperlink ref="C9:F9" location="'Development Details'!A1" display="Development Details" xr:uid="{00000000-0004-0000-0000-000002000000}"/>
    <hyperlink ref="C11:F11" location="Contents!A13" display="Calculation Sheets:" xr:uid="{00000000-0004-0000-0000-000003000000}"/>
    <hyperlink ref="C47:F47" location="'Requirements Summary'!A1" display="Requirements Summary" xr:uid="{00000000-0004-0000-0000-000011000000}"/>
    <hyperlink ref="I15:P15" location="A!A1" display="A" xr:uid="{269C24A2-B338-42D7-B894-D86573153CB9}"/>
    <hyperlink ref="I22:P22" location="B!A1" display="B" xr:uid="{08613B17-F4EF-46F6-B6D9-A9920623040C}"/>
    <hyperlink ref="I29:P29" location="'C'!A1" display="C" xr:uid="{5535BB02-3B20-4C57-8D4F-4FBA4F409913}"/>
    <hyperlink ref="I35:P35" location="E!A1" display="E" xr:uid="{6FD6760B-5466-4426-ABC7-ADE3823F1A8E}"/>
    <hyperlink ref="I34" location="D!A1" display="D" xr:uid="{457882E4-EBC7-4D2C-9149-8B6D9EB16EC0}"/>
  </hyperlinks>
  <pageMargins left="0.39370078740157483" right="0.39370078740157483" top="0.39370078740157483" bottom="0.39370078740157483" header="0.19685039370078741" footer="0.19685039370078741"/>
  <pageSetup paperSize="9" orientation="landscape" r:id="rId1"/>
  <headerFooter>
    <oddHeader>&amp;L&amp;"Calibri"&amp;10&amp;K000000Official&amp;1#_x000D_&amp;"Calibri"&amp;11&amp;K000000&amp;9&amp;F</oddHeader>
    <oddFooter>&amp;R&amp;9Page &amp;P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autoPageBreaks="0"/>
  </sheetPr>
  <dimension ref="B2:P45"/>
  <sheetViews>
    <sheetView workbookViewId="0">
      <selection activeCell="D9" sqref="D9"/>
    </sheetView>
  </sheetViews>
  <sheetFormatPr defaultRowHeight="12.5" x14ac:dyDescent="0.25"/>
  <cols>
    <col min="1" max="2" width="2.7265625" customWidth="1"/>
    <col min="3" max="3" width="26.81640625" customWidth="1"/>
    <col min="4" max="4" width="82.26953125" customWidth="1"/>
    <col min="5" max="5" width="2.7265625" customWidth="1"/>
  </cols>
  <sheetData>
    <row r="2" spans="2:16" x14ac:dyDescent="0.25">
      <c r="B2" s="73"/>
      <c r="C2" s="74"/>
      <c r="D2" s="74"/>
      <c r="E2" s="75"/>
    </row>
    <row r="3" spans="2:16" ht="19" thickBot="1" x14ac:dyDescent="0.4">
      <c r="B3" s="78"/>
      <c r="C3" s="79" t="s">
        <v>3</v>
      </c>
      <c r="D3" s="79"/>
      <c r="E3" s="80"/>
    </row>
    <row r="4" spans="2:16" ht="13" thickTop="1" x14ac:dyDescent="0.25">
      <c r="B4" s="76"/>
      <c r="E4" s="77"/>
    </row>
    <row r="5" spans="2:16" x14ac:dyDescent="0.25">
      <c r="B5" s="76"/>
      <c r="C5" t="s">
        <v>36</v>
      </c>
      <c r="D5" s="97"/>
      <c r="E5" s="77"/>
      <c r="F5" s="249"/>
      <c r="G5" s="249"/>
    </row>
    <row r="6" spans="2:16" x14ac:dyDescent="0.25">
      <c r="B6" s="76"/>
      <c r="E6" s="77"/>
      <c r="F6" s="249"/>
      <c r="G6" s="249"/>
    </row>
    <row r="7" spans="2:16" ht="25.5" customHeight="1" x14ac:dyDescent="0.25">
      <c r="B7" s="76"/>
      <c r="C7" s="6" t="s">
        <v>37</v>
      </c>
      <c r="D7" s="98"/>
      <c r="E7" s="77"/>
      <c r="F7" s="249"/>
      <c r="G7" s="249"/>
    </row>
    <row r="8" spans="2:16" x14ac:dyDescent="0.25">
      <c r="B8" s="76"/>
      <c r="E8" s="77"/>
      <c r="F8" s="249"/>
      <c r="G8" s="249"/>
    </row>
    <row r="9" spans="2:16" ht="162" customHeight="1" x14ac:dyDescent="0.25">
      <c r="B9" s="76"/>
      <c r="C9" s="6" t="s">
        <v>38</v>
      </c>
      <c r="D9" s="98"/>
      <c r="E9" s="77"/>
      <c r="F9" s="249"/>
      <c r="G9" s="249"/>
      <c r="M9" s="5"/>
      <c r="N9" s="5"/>
      <c r="O9" s="5"/>
      <c r="P9" s="5"/>
    </row>
    <row r="10" spans="2:16" x14ac:dyDescent="0.25">
      <c r="B10" s="76"/>
      <c r="E10" s="77"/>
      <c r="F10" s="249"/>
      <c r="G10" s="249"/>
      <c r="M10" s="5"/>
      <c r="N10" s="5"/>
      <c r="O10" s="5"/>
      <c r="P10" s="5"/>
    </row>
    <row r="11" spans="2:16" x14ac:dyDescent="0.25">
      <c r="B11" s="76"/>
      <c r="C11" t="s">
        <v>39</v>
      </c>
      <c r="D11" s="99"/>
      <c r="E11" s="77"/>
      <c r="F11" s="249"/>
      <c r="G11" s="249"/>
    </row>
    <row r="12" spans="2:16" x14ac:dyDescent="0.25">
      <c r="B12" s="84"/>
      <c r="C12" s="85"/>
      <c r="D12" s="85"/>
      <c r="E12" s="86"/>
    </row>
    <row r="45" spans="3:3" x14ac:dyDescent="0.25">
      <c r="C45" s="146"/>
    </row>
  </sheetData>
  <sheetProtection selectLockedCells="1"/>
  <mergeCells count="1">
    <mergeCell ref="F5:G11"/>
  </mergeCells>
  <pageMargins left="0.39370078740157483" right="0.39370078740157483" top="0.39370078740157483" bottom="0.39370078740157483" header="0.19685039370078741" footer="0.19685039370078741"/>
  <pageSetup paperSize="9" orientation="landscape" r:id="rId1"/>
  <headerFooter>
    <oddHeader>&amp;L&amp;"Calibri"&amp;10&amp;K000000Official&amp;1#_x000D_&amp;"Calibri"&amp;11&amp;K000000&amp;9&amp;F</oddHeader>
    <oddFooter>&amp;R&amp;9Page &amp;P of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autoPageBreaks="0"/>
  </sheetPr>
  <dimension ref="B2:V96"/>
  <sheetViews>
    <sheetView workbookViewId="0">
      <selection activeCell="G27" sqref="G27"/>
    </sheetView>
  </sheetViews>
  <sheetFormatPr defaultRowHeight="12.5" x14ac:dyDescent="0.25"/>
  <cols>
    <col min="1" max="2" width="2.7265625" customWidth="1"/>
    <col min="3" max="3" width="13.90625" customWidth="1"/>
    <col min="4" max="4" width="9.1796875" customWidth="1"/>
    <col min="6" max="6" width="16.1796875" customWidth="1"/>
    <col min="7" max="7" width="9.90625" customWidth="1"/>
    <col min="8" max="8" width="10.6328125" customWidth="1"/>
    <col min="9" max="13" width="9.1796875" customWidth="1"/>
    <col min="16" max="16" width="2.7265625" customWidth="1"/>
  </cols>
  <sheetData>
    <row r="2" spans="2:19" x14ac:dyDescent="0.25">
      <c r="B2" s="73"/>
      <c r="C2" s="74"/>
      <c r="D2" s="74"/>
      <c r="E2" s="74"/>
      <c r="F2" s="74"/>
      <c r="G2" s="74"/>
      <c r="H2" s="74"/>
      <c r="I2" s="74"/>
      <c r="J2" s="74"/>
      <c r="K2" s="74"/>
      <c r="L2" s="74"/>
      <c r="M2" s="74"/>
      <c r="N2" s="74"/>
      <c r="O2" s="74"/>
      <c r="P2" s="75"/>
    </row>
    <row r="3" spans="2:19" ht="19" thickBot="1" x14ac:dyDescent="0.4">
      <c r="B3" s="78"/>
      <c r="C3" s="79" t="s">
        <v>4</v>
      </c>
      <c r="D3" s="79"/>
      <c r="E3" s="79"/>
      <c r="F3" s="79"/>
      <c r="G3" s="79"/>
      <c r="H3" s="79"/>
      <c r="I3" s="79"/>
      <c r="J3" s="79"/>
      <c r="K3" s="79"/>
      <c r="L3" s="79"/>
      <c r="M3" s="79"/>
      <c r="N3" s="79"/>
      <c r="O3" s="79"/>
      <c r="P3" s="79"/>
      <c r="Q3" s="76"/>
    </row>
    <row r="4" spans="2:19" ht="13" thickTop="1" x14ac:dyDescent="0.25">
      <c r="B4" s="76"/>
      <c r="Q4" s="76"/>
    </row>
    <row r="5" spans="2:19" ht="13" customHeight="1" x14ac:dyDescent="0.25">
      <c r="B5" s="76"/>
      <c r="C5" t="s">
        <v>359</v>
      </c>
      <c r="L5" s="125"/>
      <c r="N5" s="247" t="s">
        <v>362</v>
      </c>
      <c r="O5" s="247"/>
      <c r="P5" s="103"/>
      <c r="Q5" s="214"/>
      <c r="R5" s="103"/>
    </row>
    <row r="6" spans="2:19" ht="13" customHeight="1" x14ac:dyDescent="0.25">
      <c r="B6" s="76"/>
      <c r="C6" t="s">
        <v>360</v>
      </c>
      <c r="L6" s="125"/>
      <c r="N6" s="247"/>
      <c r="O6" s="247"/>
      <c r="P6" s="103"/>
      <c r="Q6" s="214"/>
      <c r="R6" s="103"/>
    </row>
    <row r="7" spans="2:19" ht="13" customHeight="1" x14ac:dyDescent="0.25">
      <c r="B7" s="76"/>
      <c r="N7" s="247"/>
      <c r="O7" s="247"/>
      <c r="P7" s="103"/>
      <c r="Q7" s="214"/>
      <c r="R7" s="103"/>
    </row>
    <row r="8" spans="2:19" x14ac:dyDescent="0.25">
      <c r="B8" s="76"/>
      <c r="C8" t="s">
        <v>361</v>
      </c>
      <c r="G8" s="265"/>
      <c r="H8" s="265"/>
      <c r="N8" s="247"/>
      <c r="O8" s="247"/>
      <c r="P8" s="103"/>
      <c r="Q8" s="214"/>
      <c r="R8" s="103"/>
    </row>
    <row r="9" spans="2:19" x14ac:dyDescent="0.25">
      <c r="B9" s="76"/>
      <c r="J9" s="101"/>
      <c r="N9" s="103"/>
      <c r="O9" s="103"/>
      <c r="P9" s="103"/>
      <c r="Q9" s="214"/>
      <c r="R9" s="103"/>
    </row>
    <row r="10" spans="2:19" ht="5" customHeight="1" x14ac:dyDescent="0.3">
      <c r="B10" s="73"/>
      <c r="C10" s="109"/>
      <c r="D10" s="109"/>
      <c r="E10" s="109"/>
      <c r="F10" s="109"/>
      <c r="G10" s="109"/>
      <c r="H10" s="109"/>
      <c r="I10" s="109"/>
      <c r="J10" s="109"/>
      <c r="K10" s="109"/>
      <c r="L10" s="109"/>
      <c r="M10" s="109"/>
      <c r="N10" s="109"/>
      <c r="O10" s="109"/>
      <c r="P10" s="110"/>
      <c r="Q10" s="3"/>
      <c r="R10" s="3"/>
      <c r="S10" s="3"/>
    </row>
    <row r="11" spans="2:19" ht="16" x14ac:dyDescent="0.3">
      <c r="B11" s="76"/>
      <c r="C11" s="3" t="s">
        <v>117</v>
      </c>
      <c r="D11" s="3"/>
      <c r="E11" s="3"/>
      <c r="F11" s="3"/>
      <c r="G11" s="3"/>
      <c r="H11" s="3"/>
      <c r="I11" s="3"/>
      <c r="J11" s="3"/>
      <c r="K11" s="3"/>
      <c r="L11" s="3"/>
      <c r="M11" s="3"/>
      <c r="N11" s="3"/>
      <c r="O11" s="3"/>
      <c r="P11" s="100"/>
      <c r="Q11" s="3"/>
      <c r="R11" s="3"/>
      <c r="S11" s="3"/>
    </row>
    <row r="12" spans="2:19" ht="13" customHeight="1" thickBot="1" x14ac:dyDescent="0.3">
      <c r="B12" s="76"/>
      <c r="J12" s="101"/>
      <c r="P12" s="77"/>
    </row>
    <row r="13" spans="2:19" ht="13" customHeight="1" x14ac:dyDescent="0.25">
      <c r="B13" s="76"/>
      <c r="C13" s="288" t="s">
        <v>346</v>
      </c>
      <c r="D13" s="274" t="s">
        <v>41</v>
      </c>
      <c r="E13" s="274"/>
      <c r="F13" s="274"/>
      <c r="G13" s="273" t="s">
        <v>42</v>
      </c>
      <c r="H13" s="273"/>
      <c r="I13" s="273"/>
      <c r="J13" s="273"/>
      <c r="K13" s="273"/>
      <c r="L13" s="273"/>
      <c r="M13" s="273"/>
      <c r="O13" s="247"/>
      <c r="P13" s="77"/>
    </row>
    <row r="14" spans="2:19" ht="13" customHeight="1" x14ac:dyDescent="0.25">
      <c r="B14" s="76"/>
      <c r="C14" s="289"/>
      <c r="D14" s="275"/>
      <c r="E14" s="275"/>
      <c r="F14" s="275"/>
      <c r="G14" s="206"/>
      <c r="H14" s="206"/>
      <c r="I14" s="206"/>
      <c r="J14" s="206"/>
      <c r="K14" s="206"/>
      <c r="L14" s="206"/>
      <c r="M14" s="206"/>
      <c r="O14" s="247"/>
      <c r="P14" s="77"/>
    </row>
    <row r="15" spans="2:19" ht="13" thickBot="1" x14ac:dyDescent="0.3">
      <c r="B15" s="76"/>
      <c r="C15" s="289"/>
      <c r="D15" s="276"/>
      <c r="E15" s="276"/>
      <c r="F15" s="276"/>
      <c r="G15" s="207" t="s">
        <v>43</v>
      </c>
      <c r="H15" s="111" t="s">
        <v>44</v>
      </c>
      <c r="I15" s="111" t="s">
        <v>45</v>
      </c>
      <c r="J15" s="111" t="s">
        <v>46</v>
      </c>
      <c r="K15" s="111" t="s">
        <v>47</v>
      </c>
      <c r="L15" s="111" t="s">
        <v>48</v>
      </c>
      <c r="M15" s="111" t="s">
        <v>49</v>
      </c>
      <c r="O15" s="247"/>
      <c r="P15" s="77"/>
    </row>
    <row r="16" spans="2:19" x14ac:dyDescent="0.25">
      <c r="B16" s="76"/>
      <c r="C16" s="266" t="s">
        <v>50</v>
      </c>
      <c r="D16" s="272" t="s">
        <v>51</v>
      </c>
      <c r="E16" s="272"/>
      <c r="F16" s="272"/>
      <c r="G16" s="68">
        <v>0</v>
      </c>
      <c r="H16" s="68">
        <v>0</v>
      </c>
      <c r="I16" s="68">
        <v>0</v>
      </c>
      <c r="J16" s="68">
        <v>0</v>
      </c>
      <c r="K16" s="68">
        <v>0</v>
      </c>
      <c r="L16" s="68">
        <v>0</v>
      </c>
      <c r="M16" s="112">
        <f>SUM(G16:L16)</f>
        <v>0</v>
      </c>
      <c r="O16" s="247"/>
      <c r="P16" s="77"/>
    </row>
    <row r="17" spans="2:16" x14ac:dyDescent="0.25">
      <c r="B17" s="76"/>
      <c r="C17" s="267"/>
      <c r="D17" s="277" t="s">
        <v>52</v>
      </c>
      <c r="E17" s="277"/>
      <c r="F17" s="277"/>
      <c r="G17" s="67">
        <v>0</v>
      </c>
      <c r="H17" s="67">
        <v>0</v>
      </c>
      <c r="I17" s="67">
        <v>0</v>
      </c>
      <c r="J17" s="67">
        <v>0</v>
      </c>
      <c r="K17" s="67">
        <v>0</v>
      </c>
      <c r="L17" s="67">
        <v>0</v>
      </c>
      <c r="M17" s="113">
        <f t="shared" ref="M17:M23" si="0">SUM(G17:L17)</f>
        <v>0</v>
      </c>
      <c r="O17" s="247"/>
      <c r="P17" s="77"/>
    </row>
    <row r="18" spans="2:16" ht="13" thickBot="1" x14ac:dyDescent="0.3">
      <c r="B18" s="76"/>
      <c r="C18" s="267"/>
      <c r="D18" s="291" t="s">
        <v>53</v>
      </c>
      <c r="E18" s="291"/>
      <c r="F18" s="291"/>
      <c r="G18" s="71">
        <v>0</v>
      </c>
      <c r="H18" s="71">
        <v>0</v>
      </c>
      <c r="I18" s="71">
        <v>0</v>
      </c>
      <c r="J18" s="71">
        <v>0</v>
      </c>
      <c r="K18" s="71">
        <v>0</v>
      </c>
      <c r="L18" s="71">
        <v>0</v>
      </c>
      <c r="M18" s="114">
        <f t="shared" si="0"/>
        <v>0</v>
      </c>
      <c r="O18" s="247"/>
      <c r="P18" s="77"/>
    </row>
    <row r="19" spans="2:16" ht="13" thickBot="1" x14ac:dyDescent="0.3">
      <c r="B19" s="76"/>
      <c r="C19" s="268"/>
      <c r="D19" s="292" t="s">
        <v>49</v>
      </c>
      <c r="E19" s="292"/>
      <c r="F19" s="292"/>
      <c r="G19" s="115">
        <f>SUM(G16:G18)</f>
        <v>0</v>
      </c>
      <c r="H19" s="115">
        <f>SUM(H16:H18)</f>
        <v>0</v>
      </c>
      <c r="I19" s="115">
        <f>SUM(I16:I18)</f>
        <v>0</v>
      </c>
      <c r="J19" s="115">
        <f t="shared" ref="J19" si="1">SUM(J16:J18)</f>
        <v>0</v>
      </c>
      <c r="K19" s="115">
        <f>SUM(K16:K18)</f>
        <v>0</v>
      </c>
      <c r="L19" s="115">
        <v>0</v>
      </c>
      <c r="M19" s="116">
        <f t="shared" si="0"/>
        <v>0</v>
      </c>
      <c r="O19" s="247"/>
      <c r="P19" s="77"/>
    </row>
    <row r="20" spans="2:16" x14ac:dyDescent="0.25">
      <c r="B20" s="76"/>
      <c r="C20" s="269" t="s">
        <v>54</v>
      </c>
      <c r="D20" s="272" t="s">
        <v>51</v>
      </c>
      <c r="E20" s="272"/>
      <c r="F20" s="272"/>
      <c r="G20" s="72">
        <v>0</v>
      </c>
      <c r="H20" s="72">
        <v>0</v>
      </c>
      <c r="I20" s="72">
        <v>0</v>
      </c>
      <c r="J20" s="72">
        <v>0</v>
      </c>
      <c r="K20" s="72">
        <v>0</v>
      </c>
      <c r="L20" s="72">
        <v>0</v>
      </c>
      <c r="M20" s="117">
        <f t="shared" si="0"/>
        <v>0</v>
      </c>
      <c r="O20" s="247"/>
      <c r="P20" s="77"/>
    </row>
    <row r="21" spans="2:16" x14ac:dyDescent="0.25">
      <c r="B21" s="76"/>
      <c r="C21" s="270"/>
      <c r="D21" s="277" t="s">
        <v>52</v>
      </c>
      <c r="E21" s="277"/>
      <c r="F21" s="277"/>
      <c r="G21" s="67">
        <v>0</v>
      </c>
      <c r="H21" s="67">
        <v>0</v>
      </c>
      <c r="I21" s="67">
        <v>0</v>
      </c>
      <c r="J21" s="67">
        <v>0</v>
      </c>
      <c r="K21" s="67">
        <v>0</v>
      </c>
      <c r="L21" s="67">
        <v>0</v>
      </c>
      <c r="M21" s="113">
        <f t="shared" si="0"/>
        <v>0</v>
      </c>
      <c r="O21" s="247"/>
      <c r="P21" s="77"/>
    </row>
    <row r="22" spans="2:16" x14ac:dyDescent="0.25">
      <c r="B22" s="76"/>
      <c r="C22" s="270"/>
      <c r="D22" s="291" t="s">
        <v>53</v>
      </c>
      <c r="E22" s="291"/>
      <c r="F22" s="291"/>
      <c r="G22" s="71">
        <v>0</v>
      </c>
      <c r="H22" s="71">
        <v>0</v>
      </c>
      <c r="I22" s="71">
        <v>0</v>
      </c>
      <c r="J22" s="71">
        <v>0</v>
      </c>
      <c r="K22" s="71">
        <v>0</v>
      </c>
      <c r="L22" s="71">
        <v>0</v>
      </c>
      <c r="M22" s="114">
        <f t="shared" si="0"/>
        <v>0</v>
      </c>
      <c r="O22" s="247"/>
      <c r="P22" s="77"/>
    </row>
    <row r="23" spans="2:16" ht="13" thickBot="1" x14ac:dyDescent="0.3">
      <c r="B23" s="76"/>
      <c r="C23" s="271"/>
      <c r="D23" s="292" t="s">
        <v>49</v>
      </c>
      <c r="E23" s="292"/>
      <c r="F23" s="292"/>
      <c r="G23" s="115">
        <f>SUM(G20:G22)</f>
        <v>0</v>
      </c>
      <c r="H23" s="115">
        <f t="shared" ref="H23" si="2">SUM(H20:H22)</f>
        <v>0</v>
      </c>
      <c r="I23" s="115">
        <f t="shared" ref="I23" si="3">SUM(I20:I22)</f>
        <v>0</v>
      </c>
      <c r="J23" s="115">
        <f t="shared" ref="J23" si="4">SUM(J20:J22)</f>
        <v>0</v>
      </c>
      <c r="K23" s="115">
        <f t="shared" ref="K23" si="5">SUM(K20:K22)</f>
        <v>0</v>
      </c>
      <c r="L23" s="115">
        <f>SUM(L20:L22)</f>
        <v>0</v>
      </c>
      <c r="M23" s="116">
        <f t="shared" si="0"/>
        <v>0</v>
      </c>
      <c r="O23" s="247"/>
      <c r="P23" s="77"/>
    </row>
    <row r="24" spans="2:16" ht="13" thickBot="1" x14ac:dyDescent="0.3">
      <c r="B24" s="76"/>
      <c r="C24" s="193"/>
      <c r="D24" s="194"/>
      <c r="E24" s="194"/>
      <c r="F24" s="194"/>
      <c r="G24" s="205"/>
      <c r="H24" s="205"/>
      <c r="I24" s="209"/>
      <c r="J24" s="209"/>
      <c r="K24" s="209"/>
      <c r="L24" s="209"/>
      <c r="M24" s="210"/>
      <c r="O24" s="247"/>
      <c r="P24" s="77"/>
    </row>
    <row r="25" spans="2:16" ht="13" customHeight="1" x14ac:dyDescent="0.25">
      <c r="B25" s="76"/>
      <c r="C25" s="274" t="s">
        <v>357</v>
      </c>
      <c r="D25" s="274"/>
      <c r="E25" s="274"/>
      <c r="F25" s="274"/>
      <c r="G25" s="278" t="s">
        <v>349</v>
      </c>
      <c r="H25" s="278" t="s">
        <v>356</v>
      </c>
      <c r="I25" s="278"/>
      <c r="O25" s="247"/>
      <c r="P25" s="77"/>
    </row>
    <row r="26" spans="2:16" ht="13" thickBot="1" x14ac:dyDescent="0.3">
      <c r="B26" s="76"/>
      <c r="C26" s="276"/>
      <c r="D26" s="276"/>
      <c r="E26" s="276"/>
      <c r="F26" s="276"/>
      <c r="G26" s="279"/>
      <c r="H26" s="279"/>
      <c r="I26" s="279"/>
      <c r="O26" s="247"/>
      <c r="P26" s="77"/>
    </row>
    <row r="27" spans="2:16" ht="13" thickBot="1" x14ac:dyDescent="0.3">
      <c r="B27" s="76"/>
      <c r="C27" s="208" t="s">
        <v>348</v>
      </c>
      <c r="D27" s="194"/>
      <c r="E27" s="194"/>
      <c r="F27" s="194"/>
      <c r="G27" s="67">
        <v>0</v>
      </c>
      <c r="H27" s="250">
        <f>G27/2.5</f>
        <v>0</v>
      </c>
      <c r="I27" s="250"/>
      <c r="O27" s="247"/>
      <c r="P27" s="77"/>
    </row>
    <row r="28" spans="2:16" ht="13" thickBot="1" x14ac:dyDescent="0.3">
      <c r="B28" s="76"/>
      <c r="C28" s="208" t="s">
        <v>347</v>
      </c>
      <c r="D28" s="194"/>
      <c r="E28" s="194"/>
      <c r="F28" s="194"/>
      <c r="G28" s="67">
        <v>0</v>
      </c>
      <c r="H28" s="251">
        <f>G28/1</f>
        <v>0</v>
      </c>
      <c r="I28" s="251"/>
      <c r="O28" s="247"/>
      <c r="P28" s="77"/>
    </row>
    <row r="29" spans="2:16" ht="13" thickBot="1" x14ac:dyDescent="0.3">
      <c r="B29" s="76"/>
      <c r="C29" s="208" t="s">
        <v>358</v>
      </c>
      <c r="D29" s="194"/>
      <c r="E29" s="194"/>
      <c r="F29" s="194"/>
      <c r="G29" s="67">
        <v>0</v>
      </c>
      <c r="H29" s="251">
        <f>G29/1.8</f>
        <v>0</v>
      </c>
      <c r="I29" s="251"/>
      <c r="O29" s="247"/>
      <c r="P29" s="77"/>
    </row>
    <row r="30" spans="2:16" ht="13" thickBot="1" x14ac:dyDescent="0.3">
      <c r="B30" s="76"/>
      <c r="C30" s="208" t="s">
        <v>49</v>
      </c>
      <c r="D30" s="194"/>
      <c r="E30" s="194"/>
      <c r="F30" s="194"/>
      <c r="G30" s="200">
        <f>SUM(G27:G29)</f>
        <v>0</v>
      </c>
      <c r="H30" s="251">
        <f>SUM(H27:H29)</f>
        <v>0</v>
      </c>
      <c r="I30" s="251"/>
      <c r="O30" s="247"/>
      <c r="P30" s="77"/>
    </row>
    <row r="31" spans="2:16" ht="13" thickBot="1" x14ac:dyDescent="0.3">
      <c r="B31" s="76"/>
      <c r="C31" s="193"/>
      <c r="D31" s="194"/>
      <c r="E31" s="194"/>
      <c r="F31" s="194"/>
      <c r="G31" s="205"/>
      <c r="H31" s="209"/>
      <c r="I31" s="209"/>
      <c r="J31" s="209"/>
      <c r="K31" s="209"/>
      <c r="L31" s="209"/>
      <c r="M31" s="210"/>
      <c r="O31" s="247"/>
      <c r="P31" s="77"/>
    </row>
    <row r="32" spans="2:16" ht="13" thickBot="1" x14ac:dyDescent="0.3">
      <c r="B32" s="76"/>
      <c r="C32" s="287" t="s">
        <v>350</v>
      </c>
      <c r="D32" s="287"/>
      <c r="E32" s="287"/>
      <c r="F32" s="287"/>
      <c r="G32" s="118">
        <f>M19+M23+H30</f>
        <v>0</v>
      </c>
      <c r="O32" s="247"/>
      <c r="P32" s="77"/>
    </row>
    <row r="33" spans="2:19" x14ac:dyDescent="0.25">
      <c r="B33" s="76"/>
      <c r="P33" s="77"/>
    </row>
    <row r="34" spans="2:19" x14ac:dyDescent="0.25">
      <c r="B34" s="76"/>
      <c r="P34" s="77"/>
    </row>
    <row r="35" spans="2:19" ht="5.5" customHeight="1" x14ac:dyDescent="0.3">
      <c r="B35" s="73"/>
      <c r="C35" s="109"/>
      <c r="D35" s="109"/>
      <c r="E35" s="109"/>
      <c r="F35" s="109"/>
      <c r="G35" s="109"/>
      <c r="H35" s="109"/>
      <c r="I35" s="109"/>
      <c r="J35" s="109"/>
      <c r="K35" s="109"/>
      <c r="L35" s="109"/>
      <c r="M35" s="109"/>
      <c r="N35" s="109"/>
      <c r="O35" s="109"/>
      <c r="P35" s="110"/>
      <c r="Q35" s="3"/>
      <c r="R35" s="3"/>
      <c r="S35" s="3"/>
    </row>
    <row r="36" spans="2:19" ht="16" x14ac:dyDescent="0.3">
      <c r="B36" s="76"/>
      <c r="C36" s="3" t="s">
        <v>55</v>
      </c>
      <c r="D36" s="3"/>
      <c r="E36" s="3"/>
      <c r="F36" s="3"/>
      <c r="G36" s="3"/>
      <c r="H36" s="3"/>
      <c r="I36" s="3"/>
      <c r="J36" s="3"/>
      <c r="K36" s="3"/>
      <c r="L36" s="3"/>
      <c r="M36" s="3"/>
      <c r="N36" s="3"/>
      <c r="O36" s="3"/>
      <c r="P36" s="100"/>
      <c r="Q36" s="3"/>
      <c r="R36" s="3"/>
      <c r="S36" s="3"/>
    </row>
    <row r="37" spans="2:19" x14ac:dyDescent="0.25">
      <c r="B37" s="76"/>
      <c r="P37" s="77"/>
    </row>
    <row r="38" spans="2:19" ht="13" thickBot="1" x14ac:dyDescent="0.3">
      <c r="B38" s="76"/>
      <c r="C38" s="102" t="s">
        <v>56</v>
      </c>
      <c r="F38" s="150"/>
      <c r="P38" s="77"/>
    </row>
    <row r="39" spans="2:19" ht="13" customHeight="1" x14ac:dyDescent="0.25">
      <c r="B39" s="76"/>
      <c r="C39" s="280" t="s">
        <v>57</v>
      </c>
      <c r="D39" s="280" t="s">
        <v>246</v>
      </c>
      <c r="E39" s="280"/>
      <c r="G39" s="283" t="s">
        <v>58</v>
      </c>
      <c r="H39" s="283"/>
      <c r="P39" s="77"/>
    </row>
    <row r="40" spans="2:19" ht="13" thickBot="1" x14ac:dyDescent="0.3">
      <c r="B40" s="76"/>
      <c r="C40" s="281"/>
      <c r="D40" s="281"/>
      <c r="E40" s="281"/>
      <c r="F40" s="150"/>
      <c r="G40" s="284"/>
      <c r="H40" s="284"/>
      <c r="P40" s="77"/>
    </row>
    <row r="41" spans="2:19" x14ac:dyDescent="0.25">
      <c r="B41" s="76"/>
      <c r="C41" s="137" t="s">
        <v>59</v>
      </c>
      <c r="D41" s="137" t="s">
        <v>263</v>
      </c>
      <c r="G41" s="155">
        <v>0</v>
      </c>
      <c r="H41" s="155"/>
      <c r="I41" s="159"/>
      <c r="P41" s="77"/>
    </row>
    <row r="42" spans="2:19" x14ac:dyDescent="0.25">
      <c r="B42" s="76"/>
      <c r="C42" s="137" t="s">
        <v>60</v>
      </c>
      <c r="D42" s="137" t="s">
        <v>262</v>
      </c>
      <c r="E42" s="137"/>
      <c r="F42" s="137"/>
      <c r="G42" s="155">
        <v>0</v>
      </c>
      <c r="H42" s="155"/>
      <c r="I42" s="159"/>
      <c r="P42" s="77"/>
    </row>
    <row r="43" spans="2:19" x14ac:dyDescent="0.25">
      <c r="B43" s="76"/>
      <c r="C43" s="137" t="s">
        <v>61</v>
      </c>
      <c r="D43" s="137" t="s">
        <v>247</v>
      </c>
      <c r="E43" s="137"/>
      <c r="F43" s="137"/>
      <c r="G43" s="155">
        <v>0</v>
      </c>
      <c r="H43" s="155"/>
      <c r="I43" s="159"/>
      <c r="P43" s="77"/>
    </row>
    <row r="44" spans="2:19" x14ac:dyDescent="0.25">
      <c r="B44" s="76"/>
      <c r="C44" s="137" t="s">
        <v>62</v>
      </c>
      <c r="D44" s="137" t="s">
        <v>261</v>
      </c>
      <c r="E44" s="137"/>
      <c r="F44" s="137"/>
      <c r="G44" s="155">
        <v>0</v>
      </c>
      <c r="H44" s="155"/>
      <c r="I44" s="159"/>
      <c r="P44" s="77"/>
    </row>
    <row r="45" spans="2:19" x14ac:dyDescent="0.25">
      <c r="B45" s="76"/>
      <c r="C45" s="137" t="s">
        <v>63</v>
      </c>
      <c r="D45" s="137" t="s">
        <v>260</v>
      </c>
      <c r="E45" s="137"/>
      <c r="F45" s="137"/>
      <c r="G45" s="155">
        <v>0</v>
      </c>
      <c r="H45" s="155"/>
      <c r="I45" s="159"/>
      <c r="P45" s="77"/>
    </row>
    <row r="46" spans="2:19" x14ac:dyDescent="0.25">
      <c r="B46" s="76"/>
      <c r="C46" s="137" t="s">
        <v>64</v>
      </c>
      <c r="D46" s="137" t="s">
        <v>248</v>
      </c>
      <c r="E46" s="137"/>
      <c r="F46" s="137"/>
      <c r="G46" s="155">
        <v>0</v>
      </c>
      <c r="H46" s="155"/>
      <c r="I46" s="159"/>
      <c r="P46" s="77"/>
    </row>
    <row r="47" spans="2:19" x14ac:dyDescent="0.25">
      <c r="B47" s="76"/>
      <c r="C47" s="137" t="s">
        <v>65</v>
      </c>
      <c r="D47" s="137" t="s">
        <v>259</v>
      </c>
      <c r="E47" s="137"/>
      <c r="F47" s="137"/>
      <c r="G47" s="155">
        <v>0</v>
      </c>
      <c r="H47" s="155"/>
      <c r="I47" s="159"/>
      <c r="P47" s="77"/>
    </row>
    <row r="48" spans="2:19" x14ac:dyDescent="0.25">
      <c r="B48" s="76"/>
      <c r="C48" s="137" t="s">
        <v>249</v>
      </c>
      <c r="D48" s="137" t="s">
        <v>251</v>
      </c>
      <c r="E48" s="137"/>
      <c r="F48" s="137"/>
      <c r="G48" s="155">
        <v>0</v>
      </c>
      <c r="H48" s="155"/>
      <c r="I48" s="159"/>
      <c r="P48" s="77"/>
    </row>
    <row r="49" spans="2:18" x14ac:dyDescent="0.25">
      <c r="B49" s="76"/>
      <c r="C49" s="137" t="s">
        <v>250</v>
      </c>
      <c r="D49" s="137" t="s">
        <v>258</v>
      </c>
      <c r="E49" s="137"/>
      <c r="F49" s="137"/>
      <c r="G49" s="155">
        <v>0</v>
      </c>
      <c r="H49" s="155"/>
      <c r="I49" s="159"/>
      <c r="P49" s="77"/>
    </row>
    <row r="50" spans="2:18" x14ac:dyDescent="0.25">
      <c r="B50" s="76"/>
      <c r="C50" s="285" t="s">
        <v>352</v>
      </c>
      <c r="D50" s="252" t="s">
        <v>351</v>
      </c>
      <c r="E50" s="252"/>
      <c r="F50" s="252"/>
      <c r="G50" s="254">
        <v>0</v>
      </c>
      <c r="H50" s="254"/>
      <c r="I50" s="159"/>
      <c r="P50" s="77"/>
    </row>
    <row r="51" spans="2:18" x14ac:dyDescent="0.25">
      <c r="B51" s="76"/>
      <c r="C51" s="286"/>
      <c r="D51" s="253"/>
      <c r="E51" s="253"/>
      <c r="F51" s="253"/>
      <c r="G51" s="255"/>
      <c r="H51" s="255"/>
      <c r="I51" s="159"/>
      <c r="P51" s="77"/>
    </row>
    <row r="52" spans="2:18" x14ac:dyDescent="0.25">
      <c r="B52" s="76"/>
      <c r="C52" s="137" t="s">
        <v>252</v>
      </c>
      <c r="D52" s="137" t="s">
        <v>253</v>
      </c>
      <c r="E52" s="137"/>
      <c r="F52" s="137"/>
      <c r="G52" s="155">
        <v>0</v>
      </c>
      <c r="H52" s="155"/>
      <c r="I52" s="159"/>
      <c r="P52" s="77"/>
    </row>
    <row r="53" spans="2:18" x14ac:dyDescent="0.25">
      <c r="B53" s="76"/>
      <c r="C53" s="137" t="s">
        <v>254</v>
      </c>
      <c r="D53" s="137" t="s">
        <v>257</v>
      </c>
      <c r="E53" s="137"/>
      <c r="F53" s="137"/>
      <c r="G53" s="155">
        <v>0</v>
      </c>
      <c r="H53" s="155"/>
      <c r="P53" s="77"/>
    </row>
    <row r="54" spans="2:18" x14ac:dyDescent="0.25">
      <c r="B54" s="76"/>
      <c r="C54" s="137" t="s">
        <v>255</v>
      </c>
      <c r="D54" s="137" t="s">
        <v>256</v>
      </c>
      <c r="E54" s="137"/>
      <c r="F54" s="137"/>
      <c r="G54" s="155">
        <v>0</v>
      </c>
      <c r="H54" s="155"/>
      <c r="P54" s="77"/>
    </row>
    <row r="55" spans="2:18" ht="12.5" customHeight="1" x14ac:dyDescent="0.25">
      <c r="B55" s="76"/>
      <c r="C55" s="285" t="s">
        <v>354</v>
      </c>
      <c r="D55" s="252" t="s">
        <v>353</v>
      </c>
      <c r="E55" s="252"/>
      <c r="F55" s="252"/>
      <c r="G55" s="254">
        <v>0</v>
      </c>
      <c r="H55" s="254"/>
      <c r="P55" s="77"/>
    </row>
    <row r="56" spans="2:18" x14ac:dyDescent="0.25">
      <c r="B56" s="76"/>
      <c r="C56" s="270"/>
      <c r="D56" s="225"/>
      <c r="E56" s="225"/>
      <c r="F56" s="225"/>
      <c r="G56" s="293"/>
      <c r="H56" s="293"/>
      <c r="P56" s="77"/>
    </row>
    <row r="57" spans="2:18" x14ac:dyDescent="0.25">
      <c r="B57" s="76"/>
      <c r="C57" s="286"/>
      <c r="D57" s="253"/>
      <c r="E57" s="253"/>
      <c r="F57" s="253"/>
      <c r="G57" s="255"/>
      <c r="H57" s="255"/>
      <c r="P57" s="77"/>
    </row>
    <row r="58" spans="2:18" x14ac:dyDescent="0.25">
      <c r="B58" s="76"/>
      <c r="C58" s="137" t="s">
        <v>264</v>
      </c>
      <c r="D58" s="137" t="s">
        <v>266</v>
      </c>
      <c r="E58" s="137"/>
      <c r="F58" s="137"/>
      <c r="G58" s="155">
        <v>0</v>
      </c>
      <c r="H58" s="155"/>
      <c r="P58" s="77"/>
    </row>
    <row r="59" spans="2:18" x14ac:dyDescent="0.25">
      <c r="B59" s="76"/>
      <c r="C59" s="137" t="s">
        <v>265</v>
      </c>
      <c r="D59" s="137" t="s">
        <v>267</v>
      </c>
      <c r="E59" s="137"/>
      <c r="F59" s="137"/>
      <c r="G59" s="155">
        <v>0</v>
      </c>
      <c r="H59" s="155"/>
      <c r="P59" s="77"/>
    </row>
    <row r="60" spans="2:18" ht="12.5" customHeight="1" x14ac:dyDescent="0.25">
      <c r="B60" s="76"/>
      <c r="C60" s="158" t="s">
        <v>66</v>
      </c>
      <c r="D60" s="158"/>
      <c r="E60" s="137"/>
      <c r="F60" s="137"/>
      <c r="G60" s="155">
        <v>0</v>
      </c>
      <c r="H60" s="155"/>
      <c r="J60" s="282"/>
      <c r="K60" s="282"/>
      <c r="L60" s="282"/>
      <c r="M60" s="282"/>
      <c r="N60" s="282"/>
      <c r="P60" s="77"/>
    </row>
    <row r="61" spans="2:18" ht="13.5" customHeight="1" thickBot="1" x14ac:dyDescent="0.3">
      <c r="B61" s="76"/>
      <c r="C61" s="138" t="s">
        <v>307</v>
      </c>
      <c r="D61" s="138"/>
      <c r="E61" s="137"/>
      <c r="F61" s="137"/>
      <c r="G61" s="156">
        <v>0</v>
      </c>
      <c r="H61" s="156"/>
      <c r="I61" s="104"/>
      <c r="J61" s="282"/>
      <c r="K61" s="282"/>
      <c r="L61" s="282"/>
      <c r="M61" s="282"/>
      <c r="N61" s="282"/>
      <c r="O61" s="104"/>
      <c r="P61" s="77"/>
    </row>
    <row r="62" spans="2:18" ht="13" thickBot="1" x14ac:dyDescent="0.3">
      <c r="B62" s="76"/>
      <c r="C62" s="157" t="s">
        <v>49</v>
      </c>
      <c r="D62" s="157"/>
      <c r="E62" s="157"/>
      <c r="F62" s="157"/>
      <c r="G62" s="160">
        <f>SUM(G41:H61)</f>
        <v>0</v>
      </c>
      <c r="H62" s="116"/>
      <c r="I62" s="104"/>
      <c r="J62" s="282"/>
      <c r="K62" s="282"/>
      <c r="L62" s="282"/>
      <c r="M62" s="282"/>
      <c r="N62" s="282"/>
      <c r="O62" s="104"/>
      <c r="P62" s="77"/>
    </row>
    <row r="63" spans="2:18" x14ac:dyDescent="0.25">
      <c r="B63" s="76"/>
      <c r="N63" s="247"/>
      <c r="O63" s="247"/>
      <c r="P63" s="247"/>
      <c r="Q63" s="247"/>
      <c r="R63" s="247"/>
    </row>
    <row r="64" spans="2:18" ht="13" thickBot="1" x14ac:dyDescent="0.3">
      <c r="B64" s="76"/>
      <c r="C64" s="102" t="s">
        <v>304</v>
      </c>
      <c r="I64" s="105"/>
      <c r="N64" s="247"/>
      <c r="O64" s="247"/>
      <c r="P64" s="247"/>
      <c r="Q64" s="247"/>
      <c r="R64" s="247"/>
    </row>
    <row r="65" spans="2:21" ht="13" customHeight="1" thickBot="1" x14ac:dyDescent="0.3">
      <c r="B65" s="76"/>
      <c r="C65" s="259" t="s">
        <v>57</v>
      </c>
      <c r="D65" s="259"/>
      <c r="E65" s="259"/>
      <c r="F65" s="259"/>
      <c r="G65" s="259"/>
      <c r="H65" s="260" t="s">
        <v>58</v>
      </c>
      <c r="I65" s="260"/>
      <c r="N65" s="247"/>
      <c r="O65" s="247"/>
      <c r="P65" s="247"/>
      <c r="Q65" s="247"/>
      <c r="R65" s="247"/>
    </row>
    <row r="66" spans="2:21" ht="13" customHeight="1" thickBot="1" x14ac:dyDescent="0.3">
      <c r="B66" s="76"/>
      <c r="C66" s="259"/>
      <c r="D66" s="259"/>
      <c r="E66" s="259"/>
      <c r="F66" s="259"/>
      <c r="G66" s="259"/>
      <c r="H66" s="261"/>
      <c r="I66" s="261"/>
      <c r="N66" s="247"/>
      <c r="O66" s="247"/>
      <c r="P66" s="247"/>
      <c r="Q66" s="247"/>
      <c r="R66" s="247"/>
    </row>
    <row r="67" spans="2:21" x14ac:dyDescent="0.25">
      <c r="B67" s="76"/>
      <c r="C67" s="69" t="s">
        <v>305</v>
      </c>
      <c r="D67" s="69"/>
      <c r="E67" s="69"/>
      <c r="F67" s="69"/>
      <c r="G67" s="69"/>
      <c r="H67" s="262">
        <f>SUM(G43:G47)</f>
        <v>0</v>
      </c>
      <c r="I67" s="262"/>
      <c r="N67" s="247"/>
      <c r="O67" s="247"/>
      <c r="P67" s="247"/>
      <c r="Q67" s="247"/>
      <c r="R67" s="247"/>
    </row>
    <row r="68" spans="2:21" ht="13" thickBot="1" x14ac:dyDescent="0.3">
      <c r="B68" s="76"/>
      <c r="C68" s="54" t="s">
        <v>306</v>
      </c>
      <c r="D68" s="54"/>
      <c r="E68" s="54"/>
      <c r="F68" s="53"/>
      <c r="G68" s="54"/>
      <c r="H68" s="263">
        <v>0</v>
      </c>
      <c r="I68" s="263"/>
      <c r="P68" s="77"/>
    </row>
    <row r="69" spans="2:21" ht="13.5" thickBot="1" x14ac:dyDescent="0.35">
      <c r="B69" s="76"/>
      <c r="C69" s="70" t="s">
        <v>49</v>
      </c>
      <c r="D69" s="70"/>
      <c r="E69" s="70"/>
      <c r="F69" s="70"/>
      <c r="G69" s="70"/>
      <c r="H69" s="264">
        <f>H67+H68</f>
        <v>0</v>
      </c>
      <c r="I69" s="264"/>
      <c r="P69" s="77"/>
    </row>
    <row r="70" spans="2:21" ht="13" x14ac:dyDescent="0.3">
      <c r="B70" s="76"/>
      <c r="C70" s="2"/>
      <c r="D70" s="2"/>
      <c r="E70" s="2"/>
      <c r="F70" s="2"/>
      <c r="G70" s="2"/>
      <c r="H70" s="2"/>
      <c r="I70" s="2"/>
      <c r="P70" s="77"/>
    </row>
    <row r="71" spans="2:21" ht="13" thickBot="1" x14ac:dyDescent="0.3">
      <c r="B71" s="76"/>
      <c r="C71" s="102" t="s">
        <v>274</v>
      </c>
      <c r="I71" s="105"/>
      <c r="J71" s="103"/>
      <c r="K71" s="103"/>
      <c r="L71" s="103"/>
      <c r="M71" s="103"/>
      <c r="N71" s="103"/>
      <c r="P71" s="77"/>
    </row>
    <row r="72" spans="2:21" ht="13" customHeight="1" thickBot="1" x14ac:dyDescent="0.3">
      <c r="B72" s="76"/>
      <c r="C72" s="259" t="s">
        <v>57</v>
      </c>
      <c r="D72" s="259"/>
      <c r="E72" s="259"/>
      <c r="F72" s="259"/>
      <c r="G72" s="259"/>
      <c r="H72" s="260" t="s">
        <v>58</v>
      </c>
      <c r="I72" s="260"/>
      <c r="K72" s="247" t="s">
        <v>275</v>
      </c>
      <c r="L72" s="247"/>
      <c r="M72" s="247"/>
      <c r="N72" s="247"/>
      <c r="O72" s="247"/>
      <c r="P72" s="77"/>
    </row>
    <row r="73" spans="2:21" ht="13" thickBot="1" x14ac:dyDescent="0.3">
      <c r="B73" s="76"/>
      <c r="C73" s="259"/>
      <c r="D73" s="259"/>
      <c r="E73" s="259"/>
      <c r="F73" s="259"/>
      <c r="G73" s="259"/>
      <c r="H73" s="261"/>
      <c r="I73" s="261"/>
      <c r="K73" s="247"/>
      <c r="L73" s="247"/>
      <c r="M73" s="247"/>
      <c r="N73" s="247"/>
      <c r="O73" s="247"/>
      <c r="P73" s="77"/>
    </row>
    <row r="74" spans="2:21" x14ac:dyDescent="0.25">
      <c r="B74" s="76"/>
      <c r="C74" s="69" t="s">
        <v>326</v>
      </c>
      <c r="D74" s="69"/>
      <c r="E74" s="69"/>
      <c r="F74" s="69"/>
      <c r="G74" s="69"/>
      <c r="H74" s="262">
        <f>SUM(G41:G42,G55:G57)</f>
        <v>0</v>
      </c>
      <c r="I74" s="262"/>
      <c r="K74" s="247"/>
      <c r="L74" s="247"/>
      <c r="M74" s="247"/>
      <c r="N74" s="247"/>
      <c r="O74" s="247"/>
      <c r="P74" s="77"/>
    </row>
    <row r="75" spans="2:21" ht="13" customHeight="1" thickBot="1" x14ac:dyDescent="0.3">
      <c r="B75" s="76"/>
      <c r="C75" s="54" t="s">
        <v>308</v>
      </c>
      <c r="D75" s="54"/>
      <c r="E75" s="54"/>
      <c r="F75" s="53"/>
      <c r="G75" s="54"/>
      <c r="H75" s="263">
        <v>0</v>
      </c>
      <c r="I75" s="263"/>
      <c r="K75" s="247"/>
      <c r="L75" s="247"/>
      <c r="M75" s="247"/>
      <c r="N75" s="247"/>
      <c r="O75" s="247"/>
      <c r="P75" s="106"/>
      <c r="Q75" s="7"/>
      <c r="R75" s="7"/>
      <c r="S75" s="7"/>
      <c r="T75" s="7"/>
    </row>
    <row r="76" spans="2:21" ht="13.5" thickBot="1" x14ac:dyDescent="0.35">
      <c r="B76" s="76"/>
      <c r="C76" s="70" t="s">
        <v>49</v>
      </c>
      <c r="D76" s="70"/>
      <c r="E76" s="70"/>
      <c r="F76" s="70"/>
      <c r="G76" s="70"/>
      <c r="H76" s="264">
        <f>H74+H75</f>
        <v>0</v>
      </c>
      <c r="I76" s="264"/>
      <c r="K76" s="247"/>
      <c r="L76" s="247"/>
      <c r="M76" s="247"/>
      <c r="N76" s="247"/>
      <c r="O76" s="247"/>
      <c r="P76" s="77"/>
    </row>
    <row r="77" spans="2:21" ht="13" customHeight="1" x14ac:dyDescent="0.25">
      <c r="B77" s="76"/>
      <c r="D77" s="107"/>
      <c r="E77" s="107"/>
      <c r="F77" s="294"/>
      <c r="G77" s="267"/>
      <c r="K77" s="247"/>
      <c r="L77" s="247"/>
      <c r="M77" s="247"/>
      <c r="N77" s="247"/>
      <c r="O77" s="247"/>
      <c r="P77" s="106"/>
      <c r="Q77" s="7"/>
      <c r="R77" s="7"/>
      <c r="S77" s="7"/>
      <c r="T77" s="7"/>
      <c r="U77" s="7"/>
    </row>
    <row r="78" spans="2:21" ht="13" thickBot="1" x14ac:dyDescent="0.3">
      <c r="B78" s="76"/>
      <c r="C78" s="108" t="s">
        <v>67</v>
      </c>
      <c r="D78" s="107"/>
      <c r="E78" s="107"/>
      <c r="F78" s="294"/>
      <c r="G78" s="267"/>
      <c r="O78" s="103"/>
      <c r="P78" s="106"/>
      <c r="Q78" s="7"/>
      <c r="R78" s="7"/>
      <c r="S78" s="7"/>
      <c r="T78" s="7"/>
      <c r="U78" s="7"/>
    </row>
    <row r="79" spans="2:21" ht="13" customHeight="1" thickBot="1" x14ac:dyDescent="0.3">
      <c r="B79" s="76"/>
      <c r="C79" s="259" t="s">
        <v>57</v>
      </c>
      <c r="D79" s="259"/>
      <c r="E79" s="259"/>
      <c r="F79" s="259"/>
      <c r="G79" s="259"/>
      <c r="H79" s="283" t="s">
        <v>58</v>
      </c>
      <c r="I79" s="283"/>
      <c r="K79" s="247" t="s">
        <v>276</v>
      </c>
      <c r="L79" s="247"/>
      <c r="M79" s="247"/>
      <c r="N79" s="247"/>
      <c r="O79" s="247"/>
      <c r="P79" s="77"/>
    </row>
    <row r="80" spans="2:21" ht="13" thickBot="1" x14ac:dyDescent="0.3">
      <c r="B80" s="76"/>
      <c r="C80" s="259"/>
      <c r="D80" s="259"/>
      <c r="E80" s="259"/>
      <c r="F80" s="259"/>
      <c r="G80" s="259"/>
      <c r="H80" s="284"/>
      <c r="I80" s="284"/>
      <c r="K80" s="247"/>
      <c r="L80" s="247"/>
      <c r="M80" s="247"/>
      <c r="N80" s="247"/>
      <c r="O80" s="247"/>
      <c r="P80" s="77"/>
    </row>
    <row r="81" spans="2:22" ht="13" customHeight="1" x14ac:dyDescent="0.25">
      <c r="B81" s="76"/>
      <c r="C81" s="69" t="s">
        <v>277</v>
      </c>
      <c r="D81" s="69"/>
      <c r="E81" s="69"/>
      <c r="F81" s="69"/>
      <c r="G81" s="69"/>
      <c r="H81" s="256">
        <f>SUM(G41:G42,G48:G59)</f>
        <v>0</v>
      </c>
      <c r="I81" s="256"/>
      <c r="K81" s="247"/>
      <c r="L81" s="247"/>
      <c r="M81" s="247"/>
      <c r="N81" s="247"/>
      <c r="O81" s="247"/>
      <c r="P81" s="106"/>
      <c r="Q81" s="7"/>
      <c r="R81" s="247"/>
      <c r="S81" s="247"/>
      <c r="T81" s="247"/>
      <c r="U81" s="247"/>
      <c r="V81" s="247"/>
    </row>
    <row r="82" spans="2:22" ht="13" thickBot="1" x14ac:dyDescent="0.3">
      <c r="B82" s="76"/>
      <c r="C82" s="54" t="s">
        <v>68</v>
      </c>
      <c r="D82" s="53"/>
      <c r="E82" s="53"/>
      <c r="F82" s="53"/>
      <c r="G82" s="53"/>
      <c r="H82" s="257">
        <v>0</v>
      </c>
      <c r="I82" s="257"/>
      <c r="K82" s="247"/>
      <c r="L82" s="247"/>
      <c r="M82" s="247"/>
      <c r="N82" s="247"/>
      <c r="O82" s="247"/>
      <c r="P82" s="77"/>
      <c r="R82" s="247"/>
      <c r="S82" s="247"/>
      <c r="T82" s="247"/>
      <c r="U82" s="247"/>
      <c r="V82" s="247"/>
    </row>
    <row r="83" spans="2:22" ht="13.5" thickBot="1" x14ac:dyDescent="0.35">
      <c r="B83" s="76"/>
      <c r="C83" s="61" t="s">
        <v>49</v>
      </c>
      <c r="D83" s="70"/>
      <c r="E83" s="70"/>
      <c r="F83" s="70"/>
      <c r="G83" s="70"/>
      <c r="H83" s="258">
        <f>SUM(H81,H82)</f>
        <v>0</v>
      </c>
      <c r="I83" s="258"/>
      <c r="K83" s="247"/>
      <c r="L83" s="247"/>
      <c r="M83" s="247"/>
      <c r="N83" s="247"/>
      <c r="O83" s="247"/>
      <c r="P83" s="77"/>
      <c r="R83" s="247"/>
      <c r="S83" s="247"/>
      <c r="T83" s="247"/>
      <c r="U83" s="247"/>
      <c r="V83" s="247"/>
    </row>
    <row r="84" spans="2:22" x14ac:dyDescent="0.25">
      <c r="B84" s="76"/>
      <c r="P84" s="77"/>
      <c r="R84" s="247"/>
      <c r="S84" s="247"/>
      <c r="T84" s="247"/>
      <c r="U84" s="247"/>
      <c r="V84" s="247"/>
    </row>
    <row r="85" spans="2:22" x14ac:dyDescent="0.25">
      <c r="B85" s="76"/>
      <c r="P85" s="77"/>
      <c r="R85" s="247"/>
      <c r="S85" s="247"/>
      <c r="T85" s="247"/>
      <c r="U85" s="247"/>
      <c r="V85" s="247"/>
    </row>
    <row r="86" spans="2:22" ht="5.5" customHeight="1" x14ac:dyDescent="0.3">
      <c r="B86" s="73"/>
      <c r="C86" s="109"/>
      <c r="D86" s="74"/>
      <c r="E86" s="74"/>
      <c r="F86" s="74"/>
      <c r="G86" s="74"/>
      <c r="H86" s="74"/>
      <c r="I86" s="74"/>
      <c r="J86" s="74"/>
      <c r="K86" s="74"/>
      <c r="L86" s="74"/>
      <c r="M86" s="74"/>
      <c r="N86" s="74"/>
      <c r="O86" s="74"/>
      <c r="P86" s="75"/>
      <c r="R86" s="247"/>
      <c r="S86" s="247"/>
      <c r="T86" s="247"/>
      <c r="U86" s="247"/>
      <c r="V86" s="247"/>
    </row>
    <row r="87" spans="2:22" ht="16" x14ac:dyDescent="0.3">
      <c r="B87" s="76"/>
      <c r="C87" s="3" t="s">
        <v>69</v>
      </c>
      <c r="P87" s="77"/>
      <c r="R87" s="192"/>
      <c r="S87" s="192"/>
      <c r="T87" s="192"/>
      <c r="U87" s="192"/>
      <c r="V87" s="192"/>
    </row>
    <row r="88" spans="2:22" ht="13" thickBot="1" x14ac:dyDescent="0.3">
      <c r="B88" s="76"/>
      <c r="P88" s="77"/>
    </row>
    <row r="89" spans="2:22" ht="13.5" customHeight="1" thickBot="1" x14ac:dyDescent="0.35">
      <c r="B89" s="76"/>
      <c r="C89" s="290" t="s">
        <v>70</v>
      </c>
      <c r="D89" s="290"/>
      <c r="E89" s="290"/>
      <c r="F89" s="62" t="s">
        <v>71</v>
      </c>
      <c r="H89" s="247" t="s">
        <v>72</v>
      </c>
      <c r="I89" s="247"/>
      <c r="J89" s="247"/>
      <c r="P89" s="77"/>
    </row>
    <row r="90" spans="2:22" ht="12.5" customHeight="1" x14ac:dyDescent="0.25">
      <c r="B90" s="76"/>
      <c r="C90" s="295" t="s">
        <v>10</v>
      </c>
      <c r="D90" s="295"/>
      <c r="E90" s="295"/>
      <c r="F90" s="65" t="s">
        <v>11</v>
      </c>
      <c r="H90" s="247"/>
      <c r="I90" s="247"/>
      <c r="J90" s="247"/>
      <c r="P90" s="77"/>
    </row>
    <row r="91" spans="2:22" x14ac:dyDescent="0.25">
      <c r="B91" s="76"/>
      <c r="C91" s="137" t="s">
        <v>330</v>
      </c>
      <c r="D91" s="137"/>
      <c r="E91" s="137"/>
      <c r="F91" s="63" t="s">
        <v>12</v>
      </c>
      <c r="H91" s="247"/>
      <c r="I91" s="247"/>
      <c r="J91" s="247"/>
      <c r="P91" s="77"/>
    </row>
    <row r="92" spans="2:22" x14ac:dyDescent="0.25">
      <c r="B92" s="76"/>
      <c r="C92" s="137" t="s">
        <v>15</v>
      </c>
      <c r="D92" s="137"/>
      <c r="E92" s="137"/>
      <c r="F92" s="64" t="s">
        <v>13</v>
      </c>
      <c r="H92" s="247"/>
      <c r="I92" s="247"/>
      <c r="J92" s="247"/>
      <c r="P92" s="77"/>
    </row>
    <row r="93" spans="2:22" ht="12.5" customHeight="1" x14ac:dyDescent="0.25">
      <c r="B93" s="76"/>
      <c r="C93" s="137" t="s">
        <v>228</v>
      </c>
      <c r="D93" s="137"/>
      <c r="E93" s="137"/>
      <c r="F93" s="64" t="s">
        <v>14</v>
      </c>
      <c r="H93" s="247"/>
      <c r="I93" s="247"/>
      <c r="J93" s="247"/>
      <c r="P93" s="77"/>
    </row>
    <row r="94" spans="2:22" ht="29.5" customHeight="1" thickBot="1" x14ac:dyDescent="0.3">
      <c r="B94" s="76"/>
      <c r="C94" s="296" t="s">
        <v>229</v>
      </c>
      <c r="D94" s="296"/>
      <c r="E94" s="296"/>
      <c r="F94" s="66" t="s">
        <v>16</v>
      </c>
      <c r="H94" s="247"/>
      <c r="I94" s="247"/>
      <c r="J94" s="247"/>
      <c r="P94" s="77"/>
    </row>
    <row r="95" spans="2:22" ht="13" hidden="1" customHeight="1" thickBot="1" x14ac:dyDescent="0.35">
      <c r="B95" s="76"/>
      <c r="C95" s="290"/>
      <c r="D95" s="290"/>
      <c r="E95" s="290"/>
      <c r="F95" s="70" t="s">
        <v>16</v>
      </c>
      <c r="H95" s="247"/>
      <c r="I95" s="247"/>
      <c r="J95" s="247"/>
      <c r="P95" s="77"/>
    </row>
    <row r="96" spans="2:22" x14ac:dyDescent="0.25">
      <c r="B96" s="84"/>
      <c r="C96" s="85"/>
      <c r="D96" s="85"/>
      <c r="E96" s="85"/>
      <c r="F96" s="85"/>
      <c r="G96" s="85"/>
      <c r="H96" s="85"/>
      <c r="I96" s="85"/>
      <c r="J96" s="85"/>
      <c r="K96" s="85"/>
      <c r="L96" s="85"/>
      <c r="M96" s="85"/>
      <c r="N96" s="85"/>
      <c r="O96" s="85"/>
      <c r="P96" s="86"/>
    </row>
  </sheetData>
  <sheetProtection selectLockedCells="1"/>
  <mergeCells count="60">
    <mergeCell ref="C89:E89"/>
    <mergeCell ref="C72:G73"/>
    <mergeCell ref="D18:F18"/>
    <mergeCell ref="D19:F19"/>
    <mergeCell ref="D21:F21"/>
    <mergeCell ref="D22:F22"/>
    <mergeCell ref="D23:F23"/>
    <mergeCell ref="G55:H57"/>
    <mergeCell ref="H89:J95"/>
    <mergeCell ref="C79:G80"/>
    <mergeCell ref="F77:F78"/>
    <mergeCell ref="G77:G78"/>
    <mergeCell ref="H79:I80"/>
    <mergeCell ref="C90:E90"/>
    <mergeCell ref="C94:E94"/>
    <mergeCell ref="C95:E95"/>
    <mergeCell ref="C39:C40"/>
    <mergeCell ref="D39:E40"/>
    <mergeCell ref="J60:N62"/>
    <mergeCell ref="G39:H40"/>
    <mergeCell ref="H75:I75"/>
    <mergeCell ref="C50:C51"/>
    <mergeCell ref="D55:F57"/>
    <mergeCell ref="C55:C57"/>
    <mergeCell ref="C16:C19"/>
    <mergeCell ref="C20:C23"/>
    <mergeCell ref="D20:F20"/>
    <mergeCell ref="O13:O32"/>
    <mergeCell ref="G13:M13"/>
    <mergeCell ref="D13:F15"/>
    <mergeCell ref="D16:F16"/>
    <mergeCell ref="D17:F17"/>
    <mergeCell ref="C25:F26"/>
    <mergeCell ref="G25:G26"/>
    <mergeCell ref="H25:I26"/>
    <mergeCell ref="H30:I30"/>
    <mergeCell ref="C32:F32"/>
    <mergeCell ref="C13:C15"/>
    <mergeCell ref="D50:F51"/>
    <mergeCell ref="G50:H51"/>
    <mergeCell ref="K79:O83"/>
    <mergeCell ref="H81:I81"/>
    <mergeCell ref="H82:I82"/>
    <mergeCell ref="H83:I83"/>
    <mergeCell ref="C65:G66"/>
    <mergeCell ref="H65:I66"/>
    <mergeCell ref="H67:I67"/>
    <mergeCell ref="H68:I68"/>
    <mergeCell ref="H69:I69"/>
    <mergeCell ref="H76:I76"/>
    <mergeCell ref="H74:I74"/>
    <mergeCell ref="H72:I73"/>
    <mergeCell ref="K72:O77"/>
    <mergeCell ref="R81:V86"/>
    <mergeCell ref="N63:R67"/>
    <mergeCell ref="N5:O8"/>
    <mergeCell ref="H27:I27"/>
    <mergeCell ref="H28:I28"/>
    <mergeCell ref="H29:I29"/>
    <mergeCell ref="G8:H8"/>
  </mergeCells>
  <dataValidations count="3">
    <dataValidation type="whole" operator="greaterThanOrEqual" showInputMessage="1" showErrorMessage="1" error="Proposed dwellings must be a whole number, 0 or greater" sqref="G20:L22 G16:L18 G27:G29" xr:uid="{878BDFFE-17AE-4884-B69E-0EA6E7FEBCCA}">
      <formula1>0</formula1>
    </dataValidation>
    <dataValidation type="decimal" showInputMessage="1" showErrorMessage="1" error="Must be a number, less than or equal to the total proposed sui generis and flexible uses floorspace" sqref="H82" xr:uid="{4EB4F509-F047-4825-B50F-2F984B9728FD}">
      <formula1>0</formula1>
      <formula2>SUM(G60:H61)</formula2>
    </dataValidation>
    <dataValidation type="decimal" operator="greaterThanOrEqual" showInputMessage="1" showErrorMessage="1" error="Floorspace must be a number, 0 or greater" sqref="H41:H49 G41:G50 H52:H54 G52:G55 G58:H61" xr:uid="{D3C80BC4-FFCA-49B1-801F-7FD4FA2947E1}">
      <formula1>0</formula1>
    </dataValidation>
  </dataValidations>
  <hyperlinks>
    <hyperlink ref="F90" location="A!A1" display="A" xr:uid="{00000000-0004-0000-0300-000000000000}"/>
    <hyperlink ref="F91" location="B!A1" display="B" xr:uid="{00000000-0004-0000-0300-000003000000}"/>
    <hyperlink ref="F92" location="'C'!A1" display="C" xr:uid="{00000000-0004-0000-0300-000004000000}"/>
    <hyperlink ref="F93" location="J!A1" display="J!A1" xr:uid="{00000000-0004-0000-0300-000006000000}"/>
    <hyperlink ref="F95" location="E!A1" display="K" xr:uid="{00000000-0004-0000-0300-000007000000}"/>
    <hyperlink ref="F93:F94" location="D!A1" display="D" xr:uid="{BA5A7CDA-5736-401E-A548-DAAC16A78CD6}"/>
    <hyperlink ref="F94" location="E!A1" display="E" xr:uid="{EDE8F6FB-1284-4DF4-B568-A0966E5FAF56}"/>
    <hyperlink ref="N5" r:id="rId1" display="https://maps.wandsworth.gov.uk/" xr:uid="{E552AAB1-699C-44A6-A75E-5E4DF6BA1CB9}"/>
  </hyperlinks>
  <pageMargins left="0.39370078740157483" right="0.39370078740157483" top="0.39370078740157483" bottom="0.39370078740157483" header="0.19685039370078741" footer="0.19685039370078741"/>
  <pageSetup paperSize="9" scale="95" orientation="landscape" r:id="rId2"/>
  <headerFooter>
    <oddHeader>&amp;L&amp;"Calibri"&amp;10&amp;K000000Official&amp;1#_x000D_&amp;"Calibri"&amp;11&amp;K000000&amp;9&amp;F</oddHeader>
    <oddFooter>&amp;R&amp;9Page &amp;P of &amp;N</oddFooter>
  </headerFooter>
  <rowBreaks count="2" manualBreakCount="2">
    <brk id="34" min="1" max="15" man="1"/>
    <brk id="70" min="1" max="15" man="1"/>
  </rowBreaks>
  <extLst>
    <ext xmlns:x14="http://schemas.microsoft.com/office/spreadsheetml/2009/9/main" uri="{CCE6A557-97BC-4b89-ADB6-D9C93CAAB3DF}">
      <x14:dataValidations xmlns:xm="http://schemas.microsoft.com/office/excel/2006/main" count="2">
        <x14:dataValidation type="list" allowBlank="1" showInputMessage="1" showErrorMessage="1" error="Valid responses are 'Residential' or 'Non-residential'" xr:uid="{BCA77237-1101-4498-9440-B47A41B0C85D}">
          <x14:formula1>
            <xm:f>'Lookup Predominant Use'!$A$1:$A$2</xm:f>
          </x14:formula1>
          <xm:sqref>G8</xm:sqref>
        </x14:dataValidation>
        <x14:dataValidation type="list" allowBlank="1" showInputMessage="1" showErrorMessage="1" error="Valid responses are 'Yes' or 'No'" xr:uid="{3A33E8DB-1472-4D84-8882-86570E27E322}">
          <x14:formula1>
            <xm:f>'Lookup Yes and No'!$A$1:$A$2</xm:f>
          </x14:formula1>
          <xm:sqref>L5:L6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1">
    <pageSetUpPr autoPageBreaks="0"/>
  </sheetPr>
  <dimension ref="B2:R66"/>
  <sheetViews>
    <sheetView topLeftCell="A40" zoomScale="115" zoomScaleNormal="115" workbookViewId="0">
      <selection activeCell="H62" sqref="H62:H63"/>
    </sheetView>
  </sheetViews>
  <sheetFormatPr defaultColWidth="9.1796875" defaultRowHeight="12.5" x14ac:dyDescent="0.25"/>
  <cols>
    <col min="1" max="2" width="2.7265625" customWidth="1"/>
    <col min="3" max="8" width="9.1796875" customWidth="1"/>
    <col min="12" max="12" width="9.1796875" customWidth="1"/>
    <col min="16" max="16" width="2.7265625" customWidth="1"/>
  </cols>
  <sheetData>
    <row r="2" spans="2:16" x14ac:dyDescent="0.25">
      <c r="B2" s="73"/>
      <c r="C2" s="74"/>
      <c r="D2" s="74"/>
      <c r="E2" s="74"/>
      <c r="F2" s="74"/>
      <c r="G2" s="74"/>
      <c r="H2" s="74"/>
      <c r="I2" s="74"/>
      <c r="J2" s="74"/>
      <c r="K2" s="74"/>
      <c r="L2" s="74"/>
      <c r="M2" s="74"/>
      <c r="N2" s="74"/>
      <c r="O2" s="74"/>
      <c r="P2" s="75"/>
    </row>
    <row r="3" spans="2:16" ht="18.5" x14ac:dyDescent="0.35">
      <c r="B3" s="76"/>
      <c r="C3" s="183" t="s">
        <v>322</v>
      </c>
      <c r="P3" s="77"/>
    </row>
    <row r="4" spans="2:16" ht="19" thickBot="1" x14ac:dyDescent="0.4">
      <c r="B4" s="78"/>
      <c r="C4" s="184" t="s">
        <v>323</v>
      </c>
      <c r="D4" s="79"/>
      <c r="E4" s="79"/>
      <c r="F4" s="79"/>
      <c r="G4" s="79"/>
      <c r="H4" s="79"/>
      <c r="I4" s="79"/>
      <c r="J4" s="79"/>
      <c r="K4" s="79"/>
      <c r="L4" s="79"/>
      <c r="M4" s="79"/>
      <c r="N4" s="79"/>
      <c r="O4" s="79"/>
      <c r="P4" s="80"/>
    </row>
    <row r="5" spans="2:16" ht="13" thickTop="1" x14ac:dyDescent="0.25">
      <c r="B5" s="76"/>
      <c r="P5" s="77"/>
    </row>
    <row r="6" spans="2:16" x14ac:dyDescent="0.25">
      <c r="B6" s="76"/>
      <c r="C6" t="s">
        <v>324</v>
      </c>
      <c r="P6" s="77"/>
    </row>
    <row r="7" spans="2:16" x14ac:dyDescent="0.25">
      <c r="B7" s="76"/>
      <c r="C7" s="130" t="s">
        <v>94</v>
      </c>
      <c r="D7" s="1" t="s">
        <v>74</v>
      </c>
      <c r="E7" s="346" t="s">
        <v>320</v>
      </c>
      <c r="F7" s="346"/>
      <c r="G7" s="346"/>
      <c r="H7" s="346"/>
      <c r="P7" s="77"/>
    </row>
    <row r="8" spans="2:16" x14ac:dyDescent="0.25">
      <c r="B8" s="76"/>
      <c r="P8" s="77"/>
    </row>
    <row r="9" spans="2:16" ht="16" x14ac:dyDescent="0.3">
      <c r="B9" s="73"/>
      <c r="C9" s="109" t="s">
        <v>95</v>
      </c>
      <c r="D9" s="109"/>
      <c r="E9" s="109"/>
      <c r="F9" s="109"/>
      <c r="G9" s="109"/>
      <c r="H9" s="109"/>
      <c r="I9" s="109"/>
      <c r="J9" s="109"/>
      <c r="K9" s="109"/>
      <c r="L9" s="109"/>
      <c r="M9" s="109"/>
      <c r="N9" s="109"/>
      <c r="O9" s="74"/>
      <c r="P9" s="75"/>
    </row>
    <row r="10" spans="2:16" x14ac:dyDescent="0.25">
      <c r="B10" s="76"/>
      <c r="P10" s="77"/>
    </row>
    <row r="11" spans="2:16" ht="13" customHeight="1" x14ac:dyDescent="0.25">
      <c r="B11" s="76"/>
      <c r="C11" s="342" t="s">
        <v>96</v>
      </c>
      <c r="D11" s="342"/>
      <c r="E11" s="340" t="s">
        <v>78</v>
      </c>
      <c r="F11" s="343" t="s">
        <v>97</v>
      </c>
      <c r="G11" s="343"/>
      <c r="H11" s="81"/>
      <c r="I11" s="349" t="s">
        <v>98</v>
      </c>
      <c r="J11" s="349"/>
      <c r="K11" s="340" t="s">
        <v>78</v>
      </c>
      <c r="L11" s="339" t="s">
        <v>99</v>
      </c>
      <c r="M11" s="339"/>
      <c r="N11" s="339"/>
      <c r="P11" s="124"/>
    </row>
    <row r="12" spans="2:16" x14ac:dyDescent="0.25">
      <c r="B12" s="76"/>
      <c r="C12" s="342"/>
      <c r="D12" s="342"/>
      <c r="E12" s="340"/>
      <c r="F12" s="343"/>
      <c r="G12" s="343"/>
      <c r="H12" s="81"/>
      <c r="I12" s="349"/>
      <c r="J12" s="349"/>
      <c r="K12" s="340"/>
      <c r="L12" s="339"/>
      <c r="M12" s="339"/>
      <c r="N12" s="339"/>
      <c r="P12" s="124"/>
    </row>
    <row r="13" spans="2:16" x14ac:dyDescent="0.25">
      <c r="B13" s="76"/>
      <c r="C13" s="298"/>
      <c r="D13" s="298"/>
      <c r="E13" s="344" t="s">
        <v>78</v>
      </c>
      <c r="F13" s="302" t="str">
        <f>IF(K29=Inputs_still_required,Inputs_still_required,TEXT(D27,"#,##0.0")&amp;" hours × £"&amp;TEXT(C21,"#,##0.00")&amp;" per hour")</f>
        <v>Inputs still required</v>
      </c>
      <c r="G13" s="302"/>
      <c r="I13" s="341"/>
      <c r="J13" s="341"/>
      <c r="K13" s="344" t="s">
        <v>78</v>
      </c>
      <c r="L13" s="345" t="str">
        <f>IF(K29=Inputs_still_required,Inputs_still_required,TEXT(F15,"£#,##0")&amp;" × "&amp;IF(D58=1,1,TEXT(D58,"#,##0.000")))</f>
        <v>Inputs still required</v>
      </c>
      <c r="M13" s="345"/>
      <c r="N13" s="345"/>
      <c r="P13" s="77"/>
    </row>
    <row r="14" spans="2:16" x14ac:dyDescent="0.25">
      <c r="B14" s="76"/>
      <c r="C14" s="299"/>
      <c r="D14" s="299"/>
      <c r="E14" s="344"/>
      <c r="F14" s="302"/>
      <c r="G14" s="302"/>
      <c r="I14" s="341"/>
      <c r="J14" s="341"/>
      <c r="K14" s="344"/>
      <c r="L14" s="345"/>
      <c r="M14" s="345"/>
      <c r="N14" s="345"/>
      <c r="P14" s="77"/>
    </row>
    <row r="15" spans="2:16" x14ac:dyDescent="0.25">
      <c r="B15" s="76"/>
      <c r="C15" s="300"/>
      <c r="D15" s="300"/>
      <c r="E15" s="131" t="s">
        <v>78</v>
      </c>
      <c r="F15" s="297" t="str">
        <f>IF(K29=Inputs_still_required,Inputs_still_required,(D27*C21))</f>
        <v>Inputs still required</v>
      </c>
      <c r="G15" s="297"/>
      <c r="I15" s="130"/>
      <c r="J15" s="130"/>
      <c r="K15" s="131" t="s">
        <v>78</v>
      </c>
      <c r="L15" s="297" t="str">
        <f>IF(K29=Inputs_still_required,Inputs_still_required,F15*D58)</f>
        <v>Inputs still required</v>
      </c>
      <c r="M15" s="297"/>
      <c r="N15" s="297"/>
      <c r="P15" s="77"/>
    </row>
    <row r="16" spans="2:16" x14ac:dyDescent="0.25">
      <c r="B16" s="76"/>
      <c r="P16" s="77"/>
    </row>
    <row r="17" spans="2:16" ht="16" x14ac:dyDescent="0.3">
      <c r="B17" s="73"/>
      <c r="C17" s="109" t="s">
        <v>100</v>
      </c>
      <c r="D17" s="109"/>
      <c r="E17" s="109"/>
      <c r="F17" s="109"/>
      <c r="G17" s="109"/>
      <c r="H17" s="109"/>
      <c r="I17" s="109"/>
      <c r="J17" s="109"/>
      <c r="K17" s="109"/>
      <c r="L17" s="109"/>
      <c r="M17" s="109"/>
      <c r="N17" s="109"/>
      <c r="O17" s="74"/>
      <c r="P17" s="75"/>
    </row>
    <row r="18" spans="2:16" x14ac:dyDescent="0.25">
      <c r="B18" s="76"/>
      <c r="P18" s="77"/>
    </row>
    <row r="19" spans="2:16" x14ac:dyDescent="0.25">
      <c r="B19" s="76"/>
      <c r="C19" s="102" t="s">
        <v>101</v>
      </c>
      <c r="D19" s="102"/>
      <c r="E19" s="102"/>
      <c r="F19" s="102"/>
      <c r="G19" s="102"/>
      <c r="H19" s="102"/>
      <c r="I19" s="102"/>
      <c r="J19" s="102"/>
      <c r="K19" s="102"/>
      <c r="L19" s="102"/>
      <c r="M19" s="102"/>
      <c r="N19" s="102"/>
      <c r="P19" s="77"/>
    </row>
    <row r="20" spans="2:16" x14ac:dyDescent="0.25">
      <c r="B20" s="76"/>
      <c r="P20" s="77"/>
    </row>
    <row r="21" spans="2:16" x14ac:dyDescent="0.25">
      <c r="B21" s="76"/>
      <c r="C21" s="139">
        <v>149</v>
      </c>
      <c r="D21" t="s">
        <v>102</v>
      </c>
      <c r="E21" s="237" t="s">
        <v>103</v>
      </c>
      <c r="F21" s="237"/>
      <c r="G21" s="237"/>
      <c r="H21" s="237"/>
      <c r="P21" s="77"/>
    </row>
    <row r="22" spans="2:16" x14ac:dyDescent="0.25">
      <c r="B22" s="76"/>
      <c r="P22" s="77"/>
    </row>
    <row r="23" spans="2:16" x14ac:dyDescent="0.25">
      <c r="B23" s="76"/>
      <c r="C23" s="102" t="s">
        <v>104</v>
      </c>
      <c r="D23" s="102"/>
      <c r="E23" s="102"/>
      <c r="F23" s="102"/>
      <c r="G23" s="102"/>
      <c r="H23" s="102"/>
      <c r="I23" s="102"/>
      <c r="J23" s="102"/>
      <c r="K23" s="102"/>
      <c r="L23" s="102"/>
      <c r="M23" s="102"/>
      <c r="N23" s="102"/>
      <c r="P23" s="77"/>
    </row>
    <row r="24" spans="2:16" x14ac:dyDescent="0.25">
      <c r="B24" s="76"/>
      <c r="P24" s="77"/>
    </row>
    <row r="25" spans="2:16" ht="13" customHeight="1" x14ac:dyDescent="0.25">
      <c r="B25" s="76"/>
      <c r="C25" s="121" t="s">
        <v>78</v>
      </c>
      <c r="D25" s="301" t="s">
        <v>329</v>
      </c>
      <c r="E25" s="301"/>
      <c r="F25" s="301"/>
      <c r="G25" s="301"/>
      <c r="H25" s="347" t="s">
        <v>105</v>
      </c>
      <c r="I25" s="347"/>
      <c r="J25" s="347"/>
      <c r="K25" s="347"/>
      <c r="P25" s="77"/>
    </row>
    <row r="26" spans="2:16" x14ac:dyDescent="0.25">
      <c r="B26" s="76"/>
      <c r="C26" s="122" t="s">
        <v>78</v>
      </c>
      <c r="D26" s="310" t="str">
        <f>IF(K29=Inputs_still_required,Inputs_still_required,K29&amp;" + ("&amp;K30&amp;" × 1.5) + ("&amp;K31&amp;" × 1.5) + ("&amp;K32&amp;" × 4)")</f>
        <v>Inputs still required</v>
      </c>
      <c r="E26" s="310"/>
      <c r="F26" s="310"/>
      <c r="G26" s="310"/>
      <c r="H26" s="347"/>
      <c r="I26" s="347"/>
      <c r="J26" s="347"/>
      <c r="K26" s="347"/>
      <c r="P26" s="77"/>
    </row>
    <row r="27" spans="2:16" x14ac:dyDescent="0.25">
      <c r="B27" s="76"/>
      <c r="C27" s="123" t="s">
        <v>78</v>
      </c>
      <c r="D27" s="311" t="str">
        <f>IF(D26=Inputs_still_required,Inputs_still_required,K29+(K30*1.5)+(K31*1.5)+(K32*4))</f>
        <v>Inputs still required</v>
      </c>
      <c r="E27" s="311"/>
      <c r="F27" s="311"/>
      <c r="G27" s="311"/>
      <c r="H27" s="347"/>
      <c r="I27" s="347"/>
      <c r="J27" s="347"/>
      <c r="K27" s="347"/>
      <c r="P27" s="77"/>
    </row>
    <row r="28" spans="2:16" ht="13" thickBot="1" x14ac:dyDescent="0.3">
      <c r="B28" s="76"/>
      <c r="P28" s="77"/>
    </row>
    <row r="29" spans="2:16" x14ac:dyDescent="0.25">
      <c r="B29" s="76"/>
      <c r="C29" s="57" t="s">
        <v>11</v>
      </c>
      <c r="D29" s="272" t="s">
        <v>106</v>
      </c>
      <c r="E29" s="272"/>
      <c r="F29" s="272"/>
      <c r="G29" s="272"/>
      <c r="H29" s="272"/>
      <c r="I29" s="272"/>
      <c r="J29" s="272"/>
      <c r="K29" s="313" t="str">
        <f>IF('Lookup Development Size'!C2=Inputs_still_required,Inputs_still_required,VLOOKUP('Lookup Development Size'!C2,C41:L51,9,0))</f>
        <v>Inputs still required</v>
      </c>
      <c r="L29" s="313"/>
      <c r="P29" s="77"/>
    </row>
    <row r="30" spans="2:16" x14ac:dyDescent="0.25">
      <c r="B30" s="76"/>
      <c r="C30" s="56" t="s">
        <v>12</v>
      </c>
      <c r="D30" s="277" t="s">
        <v>107</v>
      </c>
      <c r="E30" s="277"/>
      <c r="F30" s="277"/>
      <c r="G30" s="277"/>
      <c r="H30" s="277"/>
      <c r="I30" s="277"/>
      <c r="J30" s="277"/>
      <c r="K30" s="314"/>
      <c r="L30" s="314"/>
      <c r="P30" s="77"/>
    </row>
    <row r="31" spans="2:16" x14ac:dyDescent="0.25">
      <c r="B31" s="76"/>
      <c r="C31" s="56" t="s">
        <v>13</v>
      </c>
      <c r="D31" s="277" t="s">
        <v>108</v>
      </c>
      <c r="E31" s="277"/>
      <c r="F31" s="277"/>
      <c r="G31" s="277"/>
      <c r="H31" s="277"/>
      <c r="I31" s="277"/>
      <c r="J31" s="277"/>
      <c r="K31" s="314"/>
      <c r="L31" s="314"/>
      <c r="P31" s="77"/>
    </row>
    <row r="32" spans="2:16" ht="13" thickBot="1" x14ac:dyDescent="0.3">
      <c r="B32" s="76"/>
      <c r="C32" s="58" t="s">
        <v>14</v>
      </c>
      <c r="D32" s="348" t="s">
        <v>109</v>
      </c>
      <c r="E32" s="348"/>
      <c r="F32" s="348"/>
      <c r="G32" s="348"/>
      <c r="H32" s="348"/>
      <c r="I32" s="348"/>
      <c r="J32" s="348"/>
      <c r="K32" s="315"/>
      <c r="L32" s="315"/>
      <c r="P32" s="77"/>
    </row>
    <row r="33" spans="2:17" x14ac:dyDescent="0.25">
      <c r="B33" s="76"/>
      <c r="C33" s="55"/>
      <c r="P33" s="77"/>
    </row>
    <row r="34" spans="2:17" x14ac:dyDescent="0.25">
      <c r="B34" s="76"/>
      <c r="C34" s="132" t="s">
        <v>110</v>
      </c>
      <c r="P34" s="77"/>
    </row>
    <row r="35" spans="2:17" ht="13" thickBot="1" x14ac:dyDescent="0.3">
      <c r="B35" s="76"/>
      <c r="P35" s="77"/>
    </row>
    <row r="36" spans="2:17" ht="13" customHeight="1" thickBot="1" x14ac:dyDescent="0.3">
      <c r="B36" s="76"/>
      <c r="C36" s="332" t="s">
        <v>111</v>
      </c>
      <c r="D36" s="332"/>
      <c r="E36" s="332"/>
      <c r="F36" s="333"/>
      <c r="G36" s="331" t="s">
        <v>112</v>
      </c>
      <c r="H36" s="331"/>
      <c r="I36" s="331" t="s">
        <v>113</v>
      </c>
      <c r="J36" s="331"/>
      <c r="K36" s="331" t="s">
        <v>114</v>
      </c>
      <c r="L36" s="331"/>
      <c r="N36" s="247" t="s">
        <v>115</v>
      </c>
      <c r="O36" s="247"/>
      <c r="P36" s="77"/>
    </row>
    <row r="37" spans="2:17" ht="13.5" customHeight="1" thickBot="1" x14ac:dyDescent="0.3">
      <c r="B37" s="76"/>
      <c r="C37" s="332"/>
      <c r="D37" s="332"/>
      <c r="E37" s="332"/>
      <c r="F37" s="333"/>
      <c r="G37" s="331"/>
      <c r="H37" s="331"/>
      <c r="I37" s="331"/>
      <c r="J37" s="331"/>
      <c r="K37" s="331"/>
      <c r="L37" s="331"/>
      <c r="M37" s="103"/>
      <c r="N37" s="247"/>
      <c r="O37" s="247"/>
      <c r="P37" s="77"/>
    </row>
    <row r="38" spans="2:17" ht="13.5" customHeight="1" thickBot="1" x14ac:dyDescent="0.3">
      <c r="B38" s="76"/>
      <c r="C38" s="332"/>
      <c r="D38" s="332"/>
      <c r="E38" s="332"/>
      <c r="F38" s="333"/>
      <c r="G38" s="331"/>
      <c r="H38" s="331"/>
      <c r="I38" s="331"/>
      <c r="J38" s="331"/>
      <c r="K38" s="331"/>
      <c r="L38" s="331"/>
      <c r="M38" s="103"/>
      <c r="N38" s="247"/>
      <c r="O38" s="247"/>
      <c r="P38" s="133"/>
      <c r="Q38" s="1"/>
    </row>
    <row r="39" spans="2:17" ht="13.5" customHeight="1" thickBot="1" x14ac:dyDescent="0.3">
      <c r="B39" s="76"/>
      <c r="C39" s="332" t="s">
        <v>116</v>
      </c>
      <c r="D39" s="332"/>
      <c r="E39" s="332" t="s">
        <v>117</v>
      </c>
      <c r="F39" s="333"/>
      <c r="G39" s="336"/>
      <c r="H39" s="336"/>
      <c r="I39" s="336"/>
      <c r="J39" s="336"/>
      <c r="K39" s="336"/>
      <c r="L39" s="336"/>
      <c r="M39" s="103"/>
      <c r="N39" s="247"/>
      <c r="O39" s="247"/>
      <c r="P39" s="133"/>
      <c r="Q39" s="1"/>
    </row>
    <row r="40" spans="2:17" ht="13" customHeight="1" x14ac:dyDescent="0.25">
      <c r="B40" s="76"/>
      <c r="C40" s="334"/>
      <c r="D40" s="334"/>
      <c r="E40" s="334"/>
      <c r="F40" s="335"/>
      <c r="G40" s="337"/>
      <c r="H40" s="337"/>
      <c r="I40" s="337"/>
      <c r="J40" s="337"/>
      <c r="K40" s="337"/>
      <c r="L40" s="337"/>
      <c r="M40" s="103"/>
      <c r="N40" s="247"/>
      <c r="O40" s="247"/>
      <c r="P40" s="133"/>
      <c r="Q40" s="1"/>
    </row>
    <row r="41" spans="2:17" x14ac:dyDescent="0.25">
      <c r="B41" s="76"/>
      <c r="C41" s="305" t="s">
        <v>118</v>
      </c>
      <c r="D41" s="305"/>
      <c r="E41" s="305" t="s">
        <v>119</v>
      </c>
      <c r="F41" s="306"/>
      <c r="G41" s="303">
        <v>1</v>
      </c>
      <c r="H41" s="303"/>
      <c r="I41" s="303">
        <v>2.5</v>
      </c>
      <c r="J41" s="303"/>
      <c r="K41" s="303">
        <f t="shared" ref="K41:K46" si="0">G41*I41</f>
        <v>2.5</v>
      </c>
      <c r="L41" s="303"/>
      <c r="M41" s="103"/>
      <c r="N41" s="247"/>
      <c r="O41" s="247"/>
      <c r="P41" s="133"/>
      <c r="Q41" s="1"/>
    </row>
    <row r="42" spans="2:17" x14ac:dyDescent="0.25">
      <c r="B42" s="76"/>
      <c r="C42" s="303" t="s">
        <v>120</v>
      </c>
      <c r="D42" s="303"/>
      <c r="E42" s="303" t="s">
        <v>121</v>
      </c>
      <c r="F42" s="307"/>
      <c r="G42" s="303">
        <v>1.5</v>
      </c>
      <c r="H42" s="303"/>
      <c r="I42" s="303">
        <v>10</v>
      </c>
      <c r="J42" s="303"/>
      <c r="K42" s="303">
        <f t="shared" si="0"/>
        <v>15</v>
      </c>
      <c r="L42" s="303"/>
      <c r="M42" s="103"/>
      <c r="N42" s="247"/>
      <c r="O42" s="247"/>
      <c r="P42" s="133"/>
      <c r="Q42" s="1"/>
    </row>
    <row r="43" spans="2:17" x14ac:dyDescent="0.25">
      <c r="B43" s="76"/>
      <c r="C43" s="303" t="s">
        <v>122</v>
      </c>
      <c r="D43" s="303"/>
      <c r="E43" s="303" t="s">
        <v>123</v>
      </c>
      <c r="F43" s="307"/>
      <c r="G43" s="303">
        <v>2</v>
      </c>
      <c r="H43" s="303"/>
      <c r="I43" s="303">
        <v>12.5</v>
      </c>
      <c r="J43" s="303"/>
      <c r="K43" s="303">
        <f t="shared" si="0"/>
        <v>25</v>
      </c>
      <c r="L43" s="303"/>
      <c r="M43" s="103"/>
      <c r="N43" s="247"/>
      <c r="O43" s="247"/>
      <c r="P43" s="133"/>
      <c r="Q43" s="1"/>
    </row>
    <row r="44" spans="2:17" x14ac:dyDescent="0.25">
      <c r="B44" s="76"/>
      <c r="C44" s="303" t="s">
        <v>124</v>
      </c>
      <c r="D44" s="303"/>
      <c r="E44" s="303" t="s">
        <v>125</v>
      </c>
      <c r="F44" s="307"/>
      <c r="G44" s="303">
        <v>3</v>
      </c>
      <c r="H44" s="303"/>
      <c r="I44" s="303">
        <v>15</v>
      </c>
      <c r="J44" s="303"/>
      <c r="K44" s="303">
        <f t="shared" si="0"/>
        <v>45</v>
      </c>
      <c r="L44" s="303"/>
      <c r="M44" s="103"/>
      <c r="N44" s="247"/>
      <c r="O44" s="247"/>
      <c r="P44" s="133"/>
      <c r="Q44" s="1"/>
    </row>
    <row r="45" spans="2:17" x14ac:dyDescent="0.25">
      <c r="B45" s="76"/>
      <c r="C45" s="303" t="s">
        <v>126</v>
      </c>
      <c r="D45" s="303"/>
      <c r="E45" s="303" t="s">
        <v>127</v>
      </c>
      <c r="F45" s="307"/>
      <c r="G45" s="303">
        <v>4</v>
      </c>
      <c r="H45" s="303"/>
      <c r="I45" s="303">
        <v>20</v>
      </c>
      <c r="J45" s="303"/>
      <c r="K45" s="303">
        <f t="shared" si="0"/>
        <v>80</v>
      </c>
      <c r="L45" s="303"/>
      <c r="M45" s="103"/>
      <c r="N45" s="247"/>
      <c r="O45" s="247"/>
      <c r="P45" s="77"/>
    </row>
    <row r="46" spans="2:17" ht="13" thickBot="1" x14ac:dyDescent="0.3">
      <c r="B46" s="76"/>
      <c r="C46" s="304" t="s">
        <v>128</v>
      </c>
      <c r="D46" s="304"/>
      <c r="E46" s="304" t="s">
        <v>129</v>
      </c>
      <c r="F46" s="308"/>
      <c r="G46" s="304">
        <v>5</v>
      </c>
      <c r="H46" s="304"/>
      <c r="I46" s="304">
        <v>30</v>
      </c>
      <c r="J46" s="304"/>
      <c r="K46" s="304">
        <f t="shared" si="0"/>
        <v>150</v>
      </c>
      <c r="L46" s="304"/>
      <c r="M46" s="103"/>
      <c r="N46" s="247"/>
      <c r="O46" s="247"/>
      <c r="P46" s="77"/>
    </row>
    <row r="47" spans="2:17" ht="13" thickBot="1" x14ac:dyDescent="0.3">
      <c r="B47" s="76"/>
      <c r="C47" s="338" t="s">
        <v>130</v>
      </c>
      <c r="D47" s="332"/>
      <c r="E47" s="332" t="s">
        <v>131</v>
      </c>
      <c r="F47" s="333"/>
      <c r="G47" s="266"/>
      <c r="H47" s="266"/>
      <c r="I47" s="266"/>
      <c r="J47" s="266"/>
      <c r="K47" s="266"/>
      <c r="L47" s="266"/>
      <c r="M47" s="103"/>
      <c r="N47" s="247"/>
      <c r="O47" s="247"/>
      <c r="P47" s="77"/>
    </row>
    <row r="48" spans="2:17" ht="13" customHeight="1" x14ac:dyDescent="0.25">
      <c r="B48" s="76"/>
      <c r="C48" s="334"/>
      <c r="D48" s="334"/>
      <c r="E48" s="334"/>
      <c r="F48" s="335"/>
      <c r="G48" s="305"/>
      <c r="H48" s="305"/>
      <c r="I48" s="305"/>
      <c r="J48" s="305"/>
      <c r="K48" s="305"/>
      <c r="L48" s="305"/>
      <c r="M48" s="103"/>
      <c r="N48" s="247"/>
      <c r="O48" s="247"/>
      <c r="P48" s="77"/>
    </row>
    <row r="49" spans="2:18" ht="13" customHeight="1" x14ac:dyDescent="0.25">
      <c r="B49" s="76"/>
      <c r="C49" s="305" t="s">
        <v>132</v>
      </c>
      <c r="D49" s="305"/>
      <c r="E49" s="305" t="s">
        <v>133</v>
      </c>
      <c r="F49" s="306"/>
      <c r="G49" s="303">
        <v>1</v>
      </c>
      <c r="H49" s="303"/>
      <c r="I49" s="303">
        <v>5</v>
      </c>
      <c r="J49" s="303"/>
      <c r="K49" s="303">
        <f t="shared" ref="K49:K51" si="1">G49*I49</f>
        <v>5</v>
      </c>
      <c r="L49" s="303"/>
      <c r="M49" s="103"/>
      <c r="N49" s="247"/>
      <c r="O49" s="247"/>
      <c r="P49" s="77"/>
      <c r="R49" s="7"/>
    </row>
    <row r="50" spans="2:18" x14ac:dyDescent="0.25">
      <c r="B50" s="76"/>
      <c r="C50" s="303" t="s">
        <v>134</v>
      </c>
      <c r="D50" s="303"/>
      <c r="E50" s="303" t="s">
        <v>135</v>
      </c>
      <c r="F50" s="307"/>
      <c r="G50" s="303">
        <v>2</v>
      </c>
      <c r="H50" s="303"/>
      <c r="I50" s="303">
        <v>10</v>
      </c>
      <c r="J50" s="303"/>
      <c r="K50" s="303">
        <f t="shared" si="1"/>
        <v>20</v>
      </c>
      <c r="L50" s="303"/>
      <c r="M50" s="103"/>
      <c r="N50" s="247"/>
      <c r="O50" s="247"/>
      <c r="P50" s="77"/>
      <c r="R50" s="7"/>
    </row>
    <row r="51" spans="2:18" ht="13" thickBot="1" x14ac:dyDescent="0.3">
      <c r="B51" s="76"/>
      <c r="C51" s="304" t="s">
        <v>136</v>
      </c>
      <c r="D51" s="304"/>
      <c r="E51" s="304" t="s">
        <v>137</v>
      </c>
      <c r="F51" s="308"/>
      <c r="G51" s="304">
        <v>3</v>
      </c>
      <c r="H51" s="304"/>
      <c r="I51" s="304">
        <v>15</v>
      </c>
      <c r="J51" s="304"/>
      <c r="K51" s="304">
        <f t="shared" si="1"/>
        <v>45</v>
      </c>
      <c r="L51" s="304"/>
      <c r="M51" s="103"/>
      <c r="N51" s="247"/>
      <c r="O51" s="247"/>
      <c r="P51" s="77"/>
    </row>
    <row r="52" spans="2:18" x14ac:dyDescent="0.25">
      <c r="B52" s="76"/>
      <c r="M52" s="267"/>
      <c r="N52" s="267"/>
      <c r="P52" s="77"/>
    </row>
    <row r="53" spans="2:18" x14ac:dyDescent="0.25">
      <c r="B53" s="76"/>
      <c r="C53" s="102" t="s">
        <v>138</v>
      </c>
      <c r="M53" s="267"/>
      <c r="N53" s="267"/>
      <c r="P53" s="77"/>
    </row>
    <row r="54" spans="2:18" x14ac:dyDescent="0.25">
      <c r="B54" s="76"/>
      <c r="M54" s="267"/>
      <c r="N54" s="267"/>
      <c r="P54" s="77"/>
    </row>
    <row r="55" spans="2:18" x14ac:dyDescent="0.25">
      <c r="B55" s="76"/>
      <c r="C55" s="121" t="s">
        <v>78</v>
      </c>
      <c r="D55" s="312" t="s">
        <v>139</v>
      </c>
      <c r="E55" s="312"/>
      <c r="F55" s="312"/>
      <c r="M55" s="267"/>
      <c r="N55" s="267"/>
      <c r="P55" s="77"/>
    </row>
    <row r="56" spans="2:18" x14ac:dyDescent="0.25">
      <c r="B56" s="76"/>
      <c r="C56" s="122" t="s">
        <v>78</v>
      </c>
      <c r="D56" s="299" t="str">
        <f>"the greater of 1 and ("&amp;H60&amp;" / "&amp;H62&amp;")"</f>
        <v>the greater of 1 and (1 / 1)</v>
      </c>
      <c r="E56" s="299"/>
      <c r="F56" s="299"/>
      <c r="M56" s="267"/>
      <c r="N56" s="267"/>
      <c r="P56" s="77"/>
    </row>
    <row r="57" spans="2:18" x14ac:dyDescent="0.25">
      <c r="B57" s="76"/>
      <c r="C57" s="122" t="s">
        <v>78</v>
      </c>
      <c r="D57" s="310" t="str">
        <f>"the greater of 1 and "&amp;TEXT(H60/H62,"#,##0.000")</f>
        <v>the greater of 1 and 1.000</v>
      </c>
      <c r="E57" s="310"/>
      <c r="F57" s="310"/>
      <c r="M57" s="267"/>
      <c r="N57" s="267"/>
      <c r="P57" s="77"/>
    </row>
    <row r="58" spans="2:18" x14ac:dyDescent="0.25">
      <c r="B58" s="76"/>
      <c r="C58" s="123" t="s">
        <v>78</v>
      </c>
      <c r="D58" s="309">
        <f>IF(H60/H62&gt;1,TEXT(H60/H62,"#,##0.000"),1)</f>
        <v>1</v>
      </c>
      <c r="E58" s="309"/>
      <c r="F58" s="309"/>
      <c r="M58" s="267"/>
      <c r="N58" s="267"/>
      <c r="P58" s="77"/>
    </row>
    <row r="59" spans="2:18" ht="13" thickBot="1" x14ac:dyDescent="0.3">
      <c r="B59" s="76"/>
      <c r="P59" s="77"/>
    </row>
    <row r="60" spans="2:18" ht="13" customHeight="1" x14ac:dyDescent="0.25">
      <c r="B60" s="76"/>
      <c r="C60" s="325" t="s">
        <v>16</v>
      </c>
      <c r="D60" s="327" t="s">
        <v>140</v>
      </c>
      <c r="E60" s="327"/>
      <c r="F60" s="327"/>
      <c r="G60" s="327"/>
      <c r="H60" s="323">
        <v>1</v>
      </c>
      <c r="I60" s="324" t="s">
        <v>141</v>
      </c>
      <c r="J60" s="316"/>
      <c r="K60" s="316"/>
      <c r="L60" s="247" t="s">
        <v>142</v>
      </c>
      <c r="M60" s="247"/>
      <c r="N60" s="103"/>
      <c r="P60" s="77"/>
    </row>
    <row r="61" spans="2:18" x14ac:dyDescent="0.25">
      <c r="B61" s="76"/>
      <c r="C61" s="326"/>
      <c r="D61" s="328"/>
      <c r="E61" s="328"/>
      <c r="F61" s="328"/>
      <c r="G61" s="328"/>
      <c r="H61" s="321"/>
      <c r="I61" s="319"/>
      <c r="J61" s="317"/>
      <c r="K61" s="317"/>
      <c r="L61" s="247"/>
      <c r="M61" s="247"/>
      <c r="N61" s="103"/>
      <c r="P61" s="77"/>
    </row>
    <row r="62" spans="2:18" x14ac:dyDescent="0.25">
      <c r="B62" s="76"/>
      <c r="C62" s="326" t="s">
        <v>17</v>
      </c>
      <c r="D62" s="245" t="s">
        <v>143</v>
      </c>
      <c r="E62" s="245"/>
      <c r="F62" s="245"/>
      <c r="G62" s="245"/>
      <c r="H62" s="321">
        <v>1</v>
      </c>
      <c r="I62" s="319" t="s">
        <v>141</v>
      </c>
      <c r="J62" s="317"/>
      <c r="K62" s="317"/>
      <c r="L62" s="247"/>
      <c r="M62" s="247"/>
      <c r="P62" s="77"/>
    </row>
    <row r="63" spans="2:18" ht="13" thickBot="1" x14ac:dyDescent="0.3">
      <c r="B63" s="76"/>
      <c r="C63" s="330"/>
      <c r="D63" s="329"/>
      <c r="E63" s="329"/>
      <c r="F63" s="329"/>
      <c r="G63" s="329"/>
      <c r="H63" s="322"/>
      <c r="I63" s="320"/>
      <c r="J63" s="318"/>
      <c r="K63" s="318"/>
      <c r="L63" s="247"/>
      <c r="M63" s="247"/>
      <c r="P63" s="77"/>
    </row>
    <row r="64" spans="2:18" x14ac:dyDescent="0.25">
      <c r="B64" s="84"/>
      <c r="C64" s="85"/>
      <c r="D64" s="85"/>
      <c r="E64" s="85"/>
      <c r="F64" s="85"/>
      <c r="G64" s="85"/>
      <c r="H64" s="85"/>
      <c r="I64" s="85"/>
      <c r="J64" s="85"/>
      <c r="K64" s="85"/>
      <c r="L64" s="85"/>
      <c r="M64" s="85"/>
      <c r="N64" s="85"/>
      <c r="O64" s="85"/>
      <c r="P64" s="86"/>
    </row>
    <row r="66" spans="3:3" x14ac:dyDescent="0.25">
      <c r="C66" s="185" t="s">
        <v>312</v>
      </c>
    </row>
  </sheetData>
  <sheetProtection selectLockedCells="1"/>
  <mergeCells count="112">
    <mergeCell ref="E7:H7"/>
    <mergeCell ref="H25:K27"/>
    <mergeCell ref="D29:J29"/>
    <mergeCell ref="D30:J30"/>
    <mergeCell ref="D31:J31"/>
    <mergeCell ref="D32:J32"/>
    <mergeCell ref="M58:N58"/>
    <mergeCell ref="G43:H43"/>
    <mergeCell ref="M56:N56"/>
    <mergeCell ref="M57:N57"/>
    <mergeCell ref="M52:N52"/>
    <mergeCell ref="M53:N53"/>
    <mergeCell ref="M54:N54"/>
    <mergeCell ref="M55:N55"/>
    <mergeCell ref="C46:D46"/>
    <mergeCell ref="C49:D49"/>
    <mergeCell ref="C50:D50"/>
    <mergeCell ref="E50:F50"/>
    <mergeCell ref="I44:J44"/>
    <mergeCell ref="I46:J46"/>
    <mergeCell ref="I49:J49"/>
    <mergeCell ref="I50:J50"/>
    <mergeCell ref="C45:D45"/>
    <mergeCell ref="I11:J12"/>
    <mergeCell ref="L11:N12"/>
    <mergeCell ref="K11:K12"/>
    <mergeCell ref="I13:J14"/>
    <mergeCell ref="C11:D12"/>
    <mergeCell ref="E11:E12"/>
    <mergeCell ref="F11:G12"/>
    <mergeCell ref="E13:E14"/>
    <mergeCell ref="I42:J42"/>
    <mergeCell ref="I41:J41"/>
    <mergeCell ref="C41:D41"/>
    <mergeCell ref="C42:D42"/>
    <mergeCell ref="K41:L41"/>
    <mergeCell ref="K42:L42"/>
    <mergeCell ref="G42:H42"/>
    <mergeCell ref="G41:H41"/>
    <mergeCell ref="N36:O51"/>
    <mergeCell ref="L13:N14"/>
    <mergeCell ref="K13:K14"/>
    <mergeCell ref="L15:N15"/>
    <mergeCell ref="I43:J43"/>
    <mergeCell ref="E21:H21"/>
    <mergeCell ref="I45:J45"/>
    <mergeCell ref="G44:H44"/>
    <mergeCell ref="K43:L43"/>
    <mergeCell ref="C60:C61"/>
    <mergeCell ref="D60:G61"/>
    <mergeCell ref="D62:G63"/>
    <mergeCell ref="C62:C63"/>
    <mergeCell ref="G36:H38"/>
    <mergeCell ref="I36:J38"/>
    <mergeCell ref="K36:L38"/>
    <mergeCell ref="C36:F38"/>
    <mergeCell ref="C39:D40"/>
    <mergeCell ref="E39:F40"/>
    <mergeCell ref="G39:H40"/>
    <mergeCell ref="I39:J40"/>
    <mergeCell ref="K39:L40"/>
    <mergeCell ref="C47:D48"/>
    <mergeCell ref="E47:F48"/>
    <mergeCell ref="G47:H48"/>
    <mergeCell ref="I47:J48"/>
    <mergeCell ref="K47:L48"/>
    <mergeCell ref="E42:F42"/>
    <mergeCell ref="E41:F41"/>
    <mergeCell ref="E46:F46"/>
    <mergeCell ref="E45:F45"/>
    <mergeCell ref="K51:L51"/>
    <mergeCell ref="K50:L50"/>
    <mergeCell ref="J60:K61"/>
    <mergeCell ref="J62:K63"/>
    <mergeCell ref="I62:I63"/>
    <mergeCell ref="H62:H63"/>
    <mergeCell ref="L60:M63"/>
    <mergeCell ref="I51:J51"/>
    <mergeCell ref="K49:L49"/>
    <mergeCell ref="K46:L46"/>
    <mergeCell ref="H60:H61"/>
    <mergeCell ref="I60:I61"/>
    <mergeCell ref="G50:H50"/>
    <mergeCell ref="G46:H46"/>
    <mergeCell ref="G51:H51"/>
    <mergeCell ref="K44:L44"/>
    <mergeCell ref="K45:L45"/>
    <mergeCell ref="D58:F58"/>
    <mergeCell ref="D26:G26"/>
    <mergeCell ref="D27:G27"/>
    <mergeCell ref="D55:F55"/>
    <mergeCell ref="D56:F56"/>
    <mergeCell ref="D57:F57"/>
    <mergeCell ref="K29:L29"/>
    <mergeCell ref="K30:L30"/>
    <mergeCell ref="K31:L31"/>
    <mergeCell ref="K32:L32"/>
    <mergeCell ref="F15:G15"/>
    <mergeCell ref="C13:D13"/>
    <mergeCell ref="C14:D14"/>
    <mergeCell ref="C15:D15"/>
    <mergeCell ref="D25:G25"/>
    <mergeCell ref="F13:G14"/>
    <mergeCell ref="C43:D43"/>
    <mergeCell ref="C44:D44"/>
    <mergeCell ref="C51:D51"/>
    <mergeCell ref="E49:F49"/>
    <mergeCell ref="E43:F43"/>
    <mergeCell ref="E51:F51"/>
    <mergeCell ref="E44:F44"/>
    <mergeCell ref="G45:H45"/>
    <mergeCell ref="G49:H49"/>
  </mergeCells>
  <dataValidations count="5">
    <dataValidation type="decimal" operator="greaterThanOrEqual" allowBlank="1" showInputMessage="1" showErrorMessage="1" error="Must be a number, 0 or greater" sqref="C21" xr:uid="{00000000-0002-0000-0E00-000000000000}">
      <formula1>0</formula1>
    </dataValidation>
    <dataValidation type="whole" operator="greaterThanOrEqual" allowBlank="1" showInputMessage="1" showErrorMessage="1" error="Number of obligations must be a number, 0 or greater" sqref="K30:K31" xr:uid="{00000000-0002-0000-0E00-000001000000}">
      <formula1>0</formula1>
    </dataValidation>
    <dataValidation type="whole" operator="greaterThanOrEqual" allowBlank="1" showInputMessage="1" showErrorMessage="1" error="Number of demand notices must be a number, 0 or greater" sqref="K32:K34" xr:uid="{00000000-0002-0000-0E00-000002000000}">
      <formula1>0</formula1>
    </dataValidation>
    <dataValidation type="whole" operator="greaterThanOrEqual" showInputMessage="1" showErrorMessage="1" error="BCIS Index must be a whole number greater than 0" sqref="H60:H63" xr:uid="{74010D5B-6643-4286-92ED-B09DB838CA97}">
      <formula1>1</formula1>
    </dataValidation>
    <dataValidation operator="greaterThanOrEqual" showInputMessage="1" showErrorMessage="1" error="Must be a date" sqref="J60:K63" xr:uid="{83EC2444-6FF8-46DC-833E-76F89117DC7D}"/>
  </dataValidations>
  <hyperlinks>
    <hyperlink ref="E21" r:id="rId1" display="Set annually by Wandsworth Council. In 2017/18 it was £113 per hour." xr:uid="{00000000-0004-0000-0E00-000000000000}"/>
  </hyperlinks>
  <pageMargins left="0.39370078740157483" right="0.39370078740157483" top="0.39370078740157483" bottom="0.39370078740157483" header="0.19685039370078741" footer="0.19685039370078741"/>
  <pageSetup paperSize="9" orientation="landscape" r:id="rId2"/>
  <headerFooter>
    <oddHeader>&amp;L&amp;"Calibri"&amp;10&amp;K000000Official&amp;1#_x000D_&amp;"Calibri"&amp;11&amp;K000000&amp;9&amp;F</oddHeader>
    <oddFooter>&amp;R&amp;9Page &amp;P of &amp;N</oddFooter>
  </headerFooter>
  <rowBreaks count="1" manualBreakCount="1">
    <brk id="33" min="1" max="15" man="1"/>
  </rowBreaks>
  <extLst>
    <ext xmlns:x14="http://schemas.microsoft.com/office/spreadsheetml/2009/9/main" uri="{78C0D931-6437-407d-A8EE-F0AAD7539E65}">
      <x14:conditionalFormattings>
        <x14:conditionalFormatting xmlns:xm="http://schemas.microsoft.com/office/excel/2006/main">
          <x14:cfRule type="expression" priority="1" id="{5E15E396-C2EC-4586-9720-A01ABDE891E0}">
            <xm:f>$C41='Lookup Development Size'!$C$2</xm:f>
            <x14:dxf>
              <font>
                <b val="0"/>
                <i val="0"/>
                <color theme="0"/>
              </font>
              <fill>
                <patternFill>
                  <bgColor theme="0" tint="-0.499984740745262"/>
                </patternFill>
              </fill>
            </x14:dxf>
          </x14:cfRule>
          <xm:sqref>C41:L46 C49:L51</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6">
    <pageSetUpPr autoPageBreaks="0"/>
  </sheetPr>
  <dimension ref="B2:P28"/>
  <sheetViews>
    <sheetView workbookViewId="0">
      <selection activeCell="E12" sqref="E12"/>
    </sheetView>
  </sheetViews>
  <sheetFormatPr defaultRowHeight="12.5" x14ac:dyDescent="0.25"/>
  <cols>
    <col min="1" max="2" width="2.7265625" customWidth="1"/>
    <col min="16" max="16" width="2.7265625" customWidth="1"/>
  </cols>
  <sheetData>
    <row r="2" spans="2:16" x14ac:dyDescent="0.25">
      <c r="B2" s="73"/>
      <c r="C2" s="74"/>
      <c r="D2" s="74"/>
      <c r="E2" s="74"/>
      <c r="F2" s="74"/>
      <c r="G2" s="74"/>
      <c r="H2" s="74"/>
      <c r="I2" s="74"/>
      <c r="J2" s="74"/>
      <c r="K2" s="74"/>
      <c r="L2" s="74"/>
      <c r="M2" s="74"/>
      <c r="N2" s="74"/>
      <c r="O2" s="74"/>
      <c r="P2" s="75"/>
    </row>
    <row r="3" spans="2:16" ht="18.5" x14ac:dyDescent="0.35">
      <c r="B3" s="181"/>
      <c r="C3" s="183" t="s">
        <v>238</v>
      </c>
      <c r="D3" s="183"/>
      <c r="E3" s="183"/>
      <c r="F3" s="183"/>
      <c r="G3" s="183"/>
      <c r="H3" s="183"/>
      <c r="I3" s="183"/>
      <c r="J3" s="183"/>
      <c r="K3" s="183"/>
      <c r="L3" s="183"/>
      <c r="M3" s="183"/>
      <c r="N3" s="183"/>
      <c r="O3" s="183"/>
      <c r="P3" s="182"/>
    </row>
    <row r="4" spans="2:16" ht="19" thickBot="1" x14ac:dyDescent="0.4">
      <c r="B4" s="78"/>
      <c r="C4" s="184" t="s">
        <v>239</v>
      </c>
      <c r="D4" s="79"/>
      <c r="E4" s="79"/>
      <c r="F4" s="79"/>
      <c r="G4" s="79"/>
      <c r="H4" s="79"/>
      <c r="I4" s="79"/>
      <c r="J4" s="79"/>
      <c r="K4" s="79"/>
      <c r="L4" s="79"/>
      <c r="M4" s="79"/>
      <c r="N4" s="79"/>
      <c r="O4" s="79"/>
      <c r="P4" s="80"/>
    </row>
    <row r="5" spans="2:16" ht="13" thickTop="1" x14ac:dyDescent="0.25">
      <c r="B5" s="76"/>
      <c r="P5" s="77"/>
    </row>
    <row r="6" spans="2:16" x14ac:dyDescent="0.25">
      <c r="B6" s="76"/>
      <c r="C6" t="s">
        <v>245</v>
      </c>
      <c r="J6" s="125"/>
      <c r="P6" s="77"/>
    </row>
    <row r="7" spans="2:16" x14ac:dyDescent="0.25">
      <c r="B7" s="76"/>
      <c r="P7" s="77"/>
    </row>
    <row r="8" spans="2:16" x14ac:dyDescent="0.25">
      <c r="B8" s="76"/>
      <c r="C8" t="s">
        <v>244</v>
      </c>
      <c r="L8" s="119" t="str">
        <f>IF(J6="", "",
    IF(J6="Yes", "No", "Yes")
)</f>
        <v/>
      </c>
      <c r="P8" s="77"/>
    </row>
    <row r="9" spans="2:16" x14ac:dyDescent="0.25">
      <c r="B9" s="76"/>
      <c r="P9" s="77"/>
    </row>
    <row r="10" spans="2:16" ht="15" x14ac:dyDescent="0.3">
      <c r="B10" s="76"/>
      <c r="C10" s="186" t="s">
        <v>319</v>
      </c>
      <c r="P10" s="77"/>
    </row>
    <row r="11" spans="2:16" x14ac:dyDescent="0.25">
      <c r="B11" s="76"/>
      <c r="C11" s="102"/>
      <c r="P11" s="77"/>
    </row>
    <row r="12" spans="2:16" x14ac:dyDescent="0.25">
      <c r="B12" s="76"/>
      <c r="C12" t="s">
        <v>91</v>
      </c>
      <c r="E12" s="129"/>
      <c r="F12" t="s">
        <v>92</v>
      </c>
      <c r="P12" s="77"/>
    </row>
    <row r="13" spans="2:16" x14ac:dyDescent="0.25">
      <c r="B13" s="76"/>
      <c r="P13" s="77"/>
    </row>
    <row r="14" spans="2:16" x14ac:dyDescent="0.25">
      <c r="B14" s="76"/>
      <c r="C14" s="312" t="s">
        <v>93</v>
      </c>
      <c r="D14" s="312"/>
      <c r="E14" s="126" t="s">
        <v>78</v>
      </c>
      <c r="F14" s="312" t="str">
        <f>IF(L8="Yes", "zero carbon shortfall (tonnes of carbon dioxide per year) × £95 over 30 years", "")</f>
        <v/>
      </c>
      <c r="G14" s="312"/>
      <c r="H14" s="312"/>
      <c r="I14" s="312"/>
      <c r="J14" s="312"/>
      <c r="K14" s="312"/>
      <c r="L14" s="312"/>
      <c r="M14" s="312"/>
      <c r="N14" s="312"/>
      <c r="P14" s="77"/>
    </row>
    <row r="15" spans="2:16" x14ac:dyDescent="0.25">
      <c r="B15" s="76"/>
      <c r="C15" s="299"/>
      <c r="D15" s="299"/>
      <c r="E15" s="127" t="s">
        <v>78</v>
      </c>
      <c r="F15" s="299" t="str">
        <f>IF(OR(L8="No",J6=""),"",
    IF(E12&lt;=0,"Inputs still required",
        TEXT(E12,"#,##0.00") &amp; " tonnes of carbon dioxide per year × £95 × 30 years"
    )
)</f>
        <v/>
      </c>
      <c r="G15" s="299"/>
      <c r="H15" s="299"/>
      <c r="I15" s="299"/>
      <c r="J15" s="299"/>
      <c r="K15" s="299"/>
      <c r="L15" s="299"/>
      <c r="M15" s="299"/>
      <c r="N15" s="299"/>
      <c r="P15" s="77"/>
    </row>
    <row r="16" spans="2:16" x14ac:dyDescent="0.25">
      <c r="B16" s="76"/>
      <c r="C16" s="346"/>
      <c r="D16" s="346"/>
      <c r="E16" s="119" t="s">
        <v>78</v>
      </c>
      <c r="F16" s="350" t="str">
        <f>IF(F15="","",
    IF(E12&lt;=0,"Inputs still required",E12*95*30)
)</f>
        <v/>
      </c>
      <c r="G16" s="350"/>
      <c r="H16" s="350"/>
      <c r="I16" s="350"/>
      <c r="J16" s="350"/>
      <c r="K16" s="350"/>
      <c r="L16" s="350"/>
      <c r="M16" s="350"/>
      <c r="N16" s="350"/>
      <c r="P16" s="77"/>
    </row>
    <row r="17" spans="2:16" x14ac:dyDescent="0.25">
      <c r="B17" s="153"/>
      <c r="C17" s="52"/>
      <c r="D17" s="52"/>
      <c r="E17" s="52"/>
      <c r="F17" s="52"/>
      <c r="G17" s="52"/>
      <c r="H17" s="52"/>
      <c r="I17" s="52"/>
      <c r="J17" s="52"/>
      <c r="K17" s="52"/>
      <c r="L17" s="52"/>
      <c r="M17" s="52"/>
      <c r="N17" s="52"/>
      <c r="O17" s="52"/>
      <c r="P17" s="154"/>
    </row>
    <row r="19" spans="2:16" x14ac:dyDescent="0.25">
      <c r="C19" s="185" t="s">
        <v>312</v>
      </c>
    </row>
    <row r="28" spans="2:16" x14ac:dyDescent="0.25">
      <c r="C28" s="146"/>
    </row>
  </sheetData>
  <sheetProtection selectLockedCells="1"/>
  <mergeCells count="6">
    <mergeCell ref="C14:D14"/>
    <mergeCell ref="C15:D15"/>
    <mergeCell ref="C16:D16"/>
    <mergeCell ref="F14:N14"/>
    <mergeCell ref="F15:N15"/>
    <mergeCell ref="F16:N16"/>
  </mergeCells>
  <conditionalFormatting sqref="C16 E16:F16">
    <cfRule type="expression" dxfId="22" priority="11">
      <formula>$L$8="Yes"</formula>
    </cfRule>
  </conditionalFormatting>
  <conditionalFormatting sqref="L8">
    <cfRule type="expression" dxfId="21" priority="12">
      <formula>$L$8="Yes"</formula>
    </cfRule>
  </conditionalFormatting>
  <dataValidations count="1">
    <dataValidation type="decimal" operator="greaterThanOrEqual" showInputMessage="1" showErrorMessage="1" error="Must be a number, 0 or greater" sqref="E12" xr:uid="{00000000-0002-0000-0B00-000000000000}">
      <formula1>0</formula1>
    </dataValidation>
  </dataValidations>
  <pageMargins left="0.39370078740157483" right="0.39370078740157483" top="0.39370078740157483" bottom="0.39370078740157483" header="0.19685039370078741" footer="0.19685039370078741"/>
  <pageSetup paperSize="9" orientation="landscape" r:id="rId1"/>
  <headerFooter>
    <oddHeader>&amp;L&amp;"Calibri"&amp;10&amp;K000000Official&amp;1#_x000D_&amp;"Calibri"&amp;11&amp;K000000&amp;9&amp;F</oddHeader>
    <oddFooter>&amp;R&amp;9Page &amp;P of &amp;N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error="Valid responses are 'Yes' or 'No'" xr:uid="{CA3C0FEB-E363-407C-9DC6-AF81B3EFB27D}">
          <x14:formula1>
            <xm:f>'Lookup Yes and No'!$A$1:$A$2</xm:f>
          </x14:formula1>
          <xm:sqref>J6</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autoPageBreaks="0"/>
  </sheetPr>
  <dimension ref="B2:P53"/>
  <sheetViews>
    <sheetView workbookViewId="0">
      <selection activeCell="L30" activeCellId="1" sqref="H9 L30"/>
    </sheetView>
  </sheetViews>
  <sheetFormatPr defaultRowHeight="12.5" x14ac:dyDescent="0.25"/>
  <cols>
    <col min="1" max="2" width="2.7265625" customWidth="1"/>
    <col min="5" max="5" width="10.54296875" customWidth="1"/>
    <col min="16" max="16" width="2.7265625" customWidth="1"/>
  </cols>
  <sheetData>
    <row r="2" spans="2:16" x14ac:dyDescent="0.25">
      <c r="B2" s="73"/>
      <c r="C2" s="74"/>
      <c r="D2" s="74"/>
      <c r="E2" s="74"/>
      <c r="F2" s="74"/>
      <c r="G2" s="74"/>
      <c r="H2" s="74"/>
      <c r="I2" s="74"/>
      <c r="J2" s="74"/>
      <c r="K2" s="74"/>
      <c r="L2" s="74"/>
      <c r="M2" s="74"/>
      <c r="N2" s="74"/>
      <c r="O2" s="74"/>
      <c r="P2" s="75"/>
    </row>
    <row r="3" spans="2:16" ht="18.5" x14ac:dyDescent="0.35">
      <c r="B3" s="76"/>
      <c r="C3" s="183" t="s">
        <v>240</v>
      </c>
      <c r="P3" s="77"/>
    </row>
    <row r="4" spans="2:16" ht="19" thickBot="1" x14ac:dyDescent="0.4">
      <c r="B4" s="78"/>
      <c r="C4" s="184" t="s">
        <v>241</v>
      </c>
      <c r="D4" s="79"/>
      <c r="E4" s="79"/>
      <c r="F4" s="79"/>
      <c r="G4" s="79"/>
      <c r="H4" s="79"/>
      <c r="I4" s="79"/>
      <c r="J4" s="79"/>
      <c r="K4" s="79"/>
      <c r="L4" s="79"/>
      <c r="M4" s="79"/>
      <c r="N4" s="79"/>
      <c r="O4" s="79"/>
      <c r="P4" s="80"/>
    </row>
    <row r="5" spans="2:16" ht="13" thickTop="1" x14ac:dyDescent="0.25">
      <c r="B5" s="76"/>
      <c r="P5" s="77"/>
    </row>
    <row r="6" spans="2:16" x14ac:dyDescent="0.25">
      <c r="B6" s="76"/>
      <c r="C6" t="s">
        <v>268</v>
      </c>
      <c r="J6" s="119" t="str">
        <f>IF(OR('Development Details'!G32&gt;=100,'Development Details'!H83&gt;=10000),"Yes","No")</f>
        <v>No</v>
      </c>
      <c r="P6" s="77"/>
    </row>
    <row r="7" spans="2:16" x14ac:dyDescent="0.25">
      <c r="B7" s="76"/>
      <c r="C7" s="55" t="s">
        <v>74</v>
      </c>
      <c r="D7" s="152" t="str">
        <f>IF(J6="Yes","The development provides: 100 or more dwellings; 10,000m² or more of non-residential floorspace; or both","The development provides less than 100 dwellings and less than 10,000m² of non-residential floorspace")</f>
        <v>The development provides less than 100 dwellings and less than 10,000m² of non-residential floorspace</v>
      </c>
      <c r="E7" s="152"/>
      <c r="F7" s="152"/>
      <c r="G7" s="152"/>
      <c r="H7" s="152"/>
      <c r="I7" s="152"/>
      <c r="J7" s="152"/>
      <c r="K7" s="152"/>
      <c r="L7" s="152"/>
      <c r="M7" s="152"/>
      <c r="N7" s="152"/>
      <c r="P7" s="77"/>
    </row>
    <row r="8" spans="2:16" x14ac:dyDescent="0.25">
      <c r="B8" s="76"/>
      <c r="P8" s="77"/>
    </row>
    <row r="9" spans="2:16" x14ac:dyDescent="0.25">
      <c r="B9" s="76"/>
      <c r="C9" t="s">
        <v>269</v>
      </c>
      <c r="H9" s="125"/>
      <c r="P9" s="77"/>
    </row>
    <row r="10" spans="2:16" x14ac:dyDescent="0.25">
      <c r="B10" s="76"/>
      <c r="P10" s="77"/>
    </row>
    <row r="11" spans="2:16" ht="16" x14ac:dyDescent="0.3">
      <c r="B11" s="76"/>
      <c r="C11" s="190" t="s">
        <v>363</v>
      </c>
      <c r="D11" s="151"/>
      <c r="E11" s="151"/>
      <c r="F11" s="151"/>
      <c r="P11" s="77"/>
    </row>
    <row r="12" spans="2:16" ht="16" x14ac:dyDescent="0.3">
      <c r="B12" s="76"/>
      <c r="C12" s="102"/>
      <c r="D12" s="151"/>
      <c r="E12" s="151"/>
      <c r="F12" s="151"/>
      <c r="P12" s="77"/>
    </row>
    <row r="13" spans="2:16" ht="13" customHeight="1" x14ac:dyDescent="0.25">
      <c r="B13" s="76"/>
      <c r="C13" s="355" t="s">
        <v>88</v>
      </c>
      <c r="D13" s="355"/>
      <c r="E13" s="354" t="str" cm="1">
        <f t="array" ref="E13">_xlfn.IFS(
    J6="No","No",
    H9="No","Yes",
    H9="Yes","No",
    TRUE,Inputs_still_required
)</f>
        <v>No</v>
      </c>
      <c r="F13" s="356" t="s">
        <v>74</v>
      </c>
      <c r="G13" s="357" t="str" cm="1">
        <f t="array" ref="G13">_xlfn.IFS(J6="No", "A contribution towards Arts and Culture is not needed",
    E13="Yes","An Arts and Culture Action Plan is not being provided",
    E13="No","An Arts and Culture Action Plan is being provided",
    TRUE,""
)</f>
        <v>A contribution towards Arts and Culture is not needed</v>
      </c>
      <c r="H13" s="357"/>
      <c r="I13" s="357"/>
      <c r="P13" s="77"/>
    </row>
    <row r="14" spans="2:16" x14ac:dyDescent="0.25">
      <c r="B14" s="76"/>
      <c r="C14" s="355"/>
      <c r="D14" s="355"/>
      <c r="E14" s="354"/>
      <c r="F14" s="356"/>
      <c r="G14" s="357"/>
      <c r="H14" s="357"/>
      <c r="I14" s="357"/>
      <c r="P14" s="77"/>
    </row>
    <row r="15" spans="2:16" x14ac:dyDescent="0.25">
      <c r="B15" s="76"/>
      <c r="P15" s="77"/>
    </row>
    <row r="16" spans="2:16" ht="13" customHeight="1" x14ac:dyDescent="0.25">
      <c r="B16" s="76"/>
      <c r="C16" s="147" t="s">
        <v>272</v>
      </c>
      <c r="D16" s="147"/>
      <c r="E16" s="147"/>
      <c r="F16" s="141" t="s">
        <v>78</v>
      </c>
      <c r="G16" s="352" t="str">
        <f>IF(H9="", "",
    IF(H9="Yes", "", "£400 per dwelling")
)</f>
        <v/>
      </c>
      <c r="H16" s="352"/>
      <c r="I16" s="352"/>
      <c r="J16" s="352"/>
      <c r="K16" s="352"/>
      <c r="L16" s="352"/>
      <c r="P16" s="77"/>
    </row>
    <row r="17" spans="2:16" x14ac:dyDescent="0.25">
      <c r="B17" s="76"/>
      <c r="C17" s="127"/>
      <c r="D17" s="127"/>
      <c r="E17" s="127"/>
      <c r="F17" s="122" t="s">
        <v>78</v>
      </c>
      <c r="G17" s="299" t="str">
        <f>IF(H9="", "", IF(OR(J6="No",E13="No",'Development Details'!G32&lt;100),"",IF(H9="No","£400 × "&amp;TEXT('Development Details'!G32,"#,##0"),Inputs_still_required)))</f>
        <v/>
      </c>
      <c r="H17" s="299"/>
      <c r="I17" s="299"/>
      <c r="J17" s="299"/>
      <c r="K17" s="299"/>
      <c r="L17" s="299"/>
      <c r="P17" s="77"/>
    </row>
    <row r="18" spans="2:16" x14ac:dyDescent="0.25">
      <c r="B18" s="76"/>
      <c r="C18" s="119"/>
      <c r="D18" s="119"/>
      <c r="E18" s="119"/>
      <c r="F18" s="123" t="s">
        <v>78</v>
      </c>
      <c r="G18" s="350" t="str">
        <f>IF(OR(H9="", H9="Yes"), "",
    IF(OR(J6="No", E13="No", 'Development Details'!G32&lt;100),
        0,
        IF(H9="No", (400 * 'Development Details'!G32), Inputs_still_required)
    )
)</f>
        <v/>
      </c>
      <c r="H18" s="350"/>
      <c r="I18" s="350"/>
      <c r="J18" s="350"/>
      <c r="K18" s="350"/>
      <c r="L18" s="350"/>
      <c r="P18" s="77"/>
    </row>
    <row r="19" spans="2:16" x14ac:dyDescent="0.25">
      <c r="B19" s="76"/>
      <c r="P19" s="77"/>
    </row>
    <row r="20" spans="2:16" ht="13" customHeight="1" x14ac:dyDescent="0.25">
      <c r="B20" s="76"/>
      <c r="C20" s="147" t="s">
        <v>271</v>
      </c>
      <c r="D20" s="147"/>
      <c r="E20" s="147"/>
      <c r="F20" s="141" t="s">
        <v>78</v>
      </c>
      <c r="G20" s="352" t="str">
        <f>IF(OR(H9="", H9="Yes"), "",
    "£20,000 per 10,000m² non-residential floorspace"
)</f>
        <v/>
      </c>
      <c r="H20" s="352"/>
      <c r="I20" s="352"/>
      <c r="J20" s="352"/>
      <c r="K20" s="352"/>
      <c r="L20" s="352"/>
      <c r="P20" s="77"/>
    </row>
    <row r="21" spans="2:16" x14ac:dyDescent="0.25">
      <c r="B21" s="76"/>
      <c r="C21" s="127"/>
      <c r="D21" s="127"/>
      <c r="E21" s="127"/>
      <c r="F21" s="122" t="s">
        <v>78</v>
      </c>
      <c r="G21" s="299" t="str" cm="1">
        <f t="array" ref="G21">_xlfn.IFS(
    OR(H9="Yes",E13="No",'Development Details'!H83&lt;10000),"",
    E13="Yes","£20,000 × (" &amp; TEXT('Development Details'!H83,"#,##0") &amp; " / 10,000)",
    TRUE,Inputs_still_required
)</f>
        <v/>
      </c>
      <c r="H21" s="299"/>
      <c r="I21" s="299"/>
      <c r="J21" s="299"/>
      <c r="K21" s="299"/>
      <c r="L21" s="299"/>
      <c r="P21" s="77"/>
    </row>
    <row r="22" spans="2:16" x14ac:dyDescent="0.25">
      <c r="B22" s="76"/>
      <c r="C22" s="119"/>
      <c r="D22" s="119"/>
      <c r="E22" s="119"/>
      <c r="F22" s="123" t="s">
        <v>78</v>
      </c>
      <c r="G22" s="350" t="str">
        <f>IF(OR(H9="", H9="Yes"), "",
    IF(OR(J6="No", E13="No", 'Development Details'!H83&lt;10000),
        0,
        IF(E13="Yes", (20000 * 'Development Details'!H83 / 10000), Inputs_still_required)
    )
)</f>
        <v/>
      </c>
      <c r="H22" s="350"/>
      <c r="I22" s="350"/>
      <c r="J22" s="350"/>
      <c r="K22" s="350"/>
      <c r="L22" s="350"/>
      <c r="P22" s="77"/>
    </row>
    <row r="23" spans="2:16" x14ac:dyDescent="0.25">
      <c r="B23" s="76"/>
      <c r="P23" s="77"/>
    </row>
    <row r="24" spans="2:16" ht="13" customHeight="1" x14ac:dyDescent="0.25">
      <c r="B24" s="76"/>
      <c r="C24" s="147" t="s">
        <v>270</v>
      </c>
      <c r="D24" s="147"/>
      <c r="E24" s="147"/>
      <c r="F24" s="141" t="s">
        <v>78</v>
      </c>
      <c r="G24" s="352" t="str">
        <f>IF(H9="", "", IF(H9="Yes", "", "residential contribution + non-residential contribution"))</f>
        <v/>
      </c>
      <c r="H24" s="352"/>
      <c r="I24" s="352"/>
      <c r="J24" s="352"/>
      <c r="K24" s="352"/>
      <c r="L24" s="352"/>
      <c r="P24" s="77"/>
    </row>
    <row r="25" spans="2:16" x14ac:dyDescent="0.25">
      <c r="B25" s="76"/>
      <c r="C25" s="127"/>
      <c r="D25" s="127"/>
      <c r="E25" s="127"/>
      <c r="F25" s="122" t="s">
        <v>78</v>
      </c>
      <c r="G25" s="299" t="str">
        <f>IF(H9="", "", IF(OR(J6="No",E13="No"),"",IF(E13="Yes",TEXT(G18,"£#,##0")&amp;" + "&amp;TEXT(G22,"£#,##0"),Inputs_still_required)))</f>
        <v/>
      </c>
      <c r="H25" s="299"/>
      <c r="I25" s="299"/>
      <c r="J25" s="299"/>
      <c r="K25" s="299"/>
      <c r="L25" s="299"/>
      <c r="P25" s="77"/>
    </row>
    <row r="26" spans="2:16" x14ac:dyDescent="0.25">
      <c r="B26" s="76"/>
      <c r="C26" s="119"/>
      <c r="D26" s="119"/>
      <c r="E26" s="119"/>
      <c r="F26" s="123" t="s">
        <v>78</v>
      </c>
      <c r="G26" s="350" t="str">
        <f>IF(H9="", "", IF(OR(J6="No",E13="No"),"",IF(E13="Yes",G18+G22,Inputs_still_required)))</f>
        <v/>
      </c>
      <c r="H26" s="350"/>
      <c r="I26" s="350"/>
      <c r="J26" s="350"/>
      <c r="K26" s="350"/>
      <c r="L26" s="350"/>
      <c r="P26" s="77"/>
    </row>
    <row r="27" spans="2:16" x14ac:dyDescent="0.25">
      <c r="B27" s="76"/>
      <c r="P27" s="77"/>
    </row>
    <row r="28" spans="2:16" ht="15" x14ac:dyDescent="0.3">
      <c r="B28" s="76"/>
      <c r="C28" s="190" t="s">
        <v>145</v>
      </c>
      <c r="P28" s="77"/>
    </row>
    <row r="29" spans="2:16" x14ac:dyDescent="0.25">
      <c r="B29" s="76"/>
      <c r="P29" s="77"/>
    </row>
    <row r="30" spans="2:16" x14ac:dyDescent="0.25">
      <c r="B30" s="76"/>
      <c r="C30" t="s">
        <v>273</v>
      </c>
      <c r="L30" s="125"/>
      <c r="P30" s="77"/>
    </row>
    <row r="31" spans="2:16" x14ac:dyDescent="0.25">
      <c r="B31" s="76"/>
      <c r="P31" s="77"/>
    </row>
    <row r="32" spans="2:16" ht="13" customHeight="1" x14ac:dyDescent="0.25">
      <c r="B32" s="76"/>
      <c r="C32" s="351" t="s">
        <v>272</v>
      </c>
      <c r="D32" s="351"/>
      <c r="E32" s="351"/>
      <c r="F32" s="141" t="s">
        <v>78</v>
      </c>
      <c r="G32" s="352" t="str">
        <f>IF(L30="", "", IF(L30="No", "", "£600 per dwelling"))</f>
        <v/>
      </c>
      <c r="H32" s="352"/>
      <c r="I32" s="352"/>
      <c r="J32" s="352"/>
      <c r="K32" s="352"/>
      <c r="L32" s="352"/>
      <c r="P32" s="77"/>
    </row>
    <row r="33" spans="2:16" x14ac:dyDescent="0.25">
      <c r="B33" s="76"/>
      <c r="C33" s="299"/>
      <c r="D33" s="299"/>
      <c r="E33" s="299"/>
      <c r="F33" s="122" t="s">
        <v>78</v>
      </c>
      <c r="G33" s="299" t="str">
        <f>IF(L30="", "",
    IF(OR(J6="No",L30="No",'Development Details'!G32&lt;100), "",
        IF(L30="Yes","£600 × "&amp;TEXT('Development Details'!G32,"#,##0"),Inputs_still_required)
    )
)</f>
        <v/>
      </c>
      <c r="H33" s="299"/>
      <c r="I33" s="299"/>
      <c r="J33" s="299"/>
      <c r="K33" s="299"/>
      <c r="L33" s="299"/>
      <c r="P33" s="77"/>
    </row>
    <row r="34" spans="2:16" x14ac:dyDescent="0.25">
      <c r="B34" s="76"/>
      <c r="C34" s="346"/>
      <c r="D34" s="346"/>
      <c r="E34" s="346"/>
      <c r="F34" s="123" t="s">
        <v>78</v>
      </c>
      <c r="G34" s="350" t="str">
        <f>IF(OR(L30="", L30="No"), "",
    IF(OR(J6="No", 'Development Details'!G32&lt;100),
        0,
        IF(L30="Yes", 600 * 'Development Details'!G32, Inputs_still_required)
    )
)</f>
        <v/>
      </c>
      <c r="H34" s="350"/>
      <c r="I34" s="350"/>
      <c r="J34" s="350"/>
      <c r="K34" s="350"/>
      <c r="L34" s="350"/>
      <c r="P34" s="77"/>
    </row>
    <row r="35" spans="2:16" x14ac:dyDescent="0.25">
      <c r="B35" s="76"/>
      <c r="P35" s="77"/>
    </row>
    <row r="36" spans="2:16" ht="13" customHeight="1" x14ac:dyDescent="0.25">
      <c r="B36" s="76"/>
      <c r="C36" s="351" t="s">
        <v>271</v>
      </c>
      <c r="D36" s="351"/>
      <c r="E36" s="351"/>
      <c r="F36" s="141" t="s">
        <v>78</v>
      </c>
      <c r="G36" s="352" t="str">
        <f>IF(L30="", "", IF(L30="No", "", "£20,000 per 10,000m² non-residential floorspace"))</f>
        <v/>
      </c>
      <c r="H36" s="352"/>
      <c r="I36" s="352"/>
      <c r="J36" s="352"/>
      <c r="K36" s="352"/>
      <c r="L36" s="352"/>
      <c r="P36" s="77"/>
    </row>
    <row r="37" spans="2:16" x14ac:dyDescent="0.25">
      <c r="B37" s="76"/>
      <c r="C37" s="299"/>
      <c r="D37" s="299"/>
      <c r="E37" s="299"/>
      <c r="F37" s="122" t="s">
        <v>78</v>
      </c>
      <c r="G37" s="299" t="str">
        <f>IF(OR(J6="No",L30="No",'Development Details'!H83&lt;10000), "",
    IF(L30="Yes","£20,000 × (" &amp; TEXT('Development Details'!H83,"#,##0") &amp; " / 10,000)", Inputs_still_required)
)</f>
        <v/>
      </c>
      <c r="H37" s="299"/>
      <c r="I37" s="299"/>
      <c r="J37" s="299"/>
      <c r="K37" s="299"/>
      <c r="L37" s="299"/>
      <c r="P37" s="77"/>
    </row>
    <row r="38" spans="2:16" x14ac:dyDescent="0.25">
      <c r="B38" s="76"/>
      <c r="C38" s="346"/>
      <c r="D38" s="346"/>
      <c r="E38" s="346"/>
      <c r="F38" s="123" t="s">
        <v>78</v>
      </c>
      <c r="G38" s="350" t="str">
        <f>IF(OR(L30="", L30="No"), "",
    IF(OR(J6="No", E13="No", 'Development Details'!H83&lt;10000),
        0,
        IF(L30="Yes", 20000 * 'Development Details'!H83 / 10000, Inputs_still_required)
    )
)</f>
        <v/>
      </c>
      <c r="H38" s="350"/>
      <c r="I38" s="350"/>
      <c r="J38" s="350"/>
      <c r="K38" s="350"/>
      <c r="L38" s="350"/>
      <c r="P38" s="77"/>
    </row>
    <row r="39" spans="2:16" x14ac:dyDescent="0.25">
      <c r="B39" s="76"/>
      <c r="P39" s="77"/>
    </row>
    <row r="40" spans="2:16" ht="13" customHeight="1" x14ac:dyDescent="0.25">
      <c r="B40" s="76"/>
      <c r="C40" s="351" t="s">
        <v>270</v>
      </c>
      <c r="D40" s="351"/>
      <c r="E40" s="351"/>
      <c r="F40" s="141" t="s">
        <v>78</v>
      </c>
      <c r="G40" s="352" t="str">
        <f>IF(L30="", "", IF(L30="No", "", "residential contribution + non-residential contribution"))</f>
        <v/>
      </c>
      <c r="H40" s="352"/>
      <c r="I40" s="352"/>
      <c r="J40" s="352"/>
      <c r="K40" s="352"/>
      <c r="L40" s="352"/>
      <c r="P40" s="77"/>
    </row>
    <row r="41" spans="2:16" x14ac:dyDescent="0.25">
      <c r="B41" s="76"/>
      <c r="C41" s="299"/>
      <c r="D41" s="299"/>
      <c r="E41" s="299"/>
      <c r="F41" s="122" t="s">
        <v>78</v>
      </c>
      <c r="G41" s="353" t="str">
        <f>IF(OR(L30="", L30="No"), "",
    IF(OR(J6="No", L30="No"),
        "",
        IF(L30="Yes",
            TEXT(G34,"£#,##0") &amp; " + " &amp; TEXT(G38,"£#,##0"),
            Inputs_still_required
        )
    )
)</f>
        <v/>
      </c>
      <c r="H41" s="299"/>
      <c r="I41" s="299"/>
      <c r="J41" s="299"/>
      <c r="K41" s="299"/>
      <c r="L41" s="299"/>
      <c r="P41" s="77"/>
    </row>
    <row r="42" spans="2:16" ht="13" customHeight="1" x14ac:dyDescent="0.25">
      <c r="B42" s="76"/>
      <c r="C42" s="346"/>
      <c r="D42" s="346"/>
      <c r="E42" s="346"/>
      <c r="F42" s="123" t="s">
        <v>78</v>
      </c>
      <c r="G42" s="350" t="str">
        <f>IF(OR(L30="", L30="No"), "",
    IF(OR(J6="No", L30="No"),
        "",
        IF(L30="Yes", (G34 + G38), Inputs_still_required)
    )
)</f>
        <v/>
      </c>
      <c r="H42" s="350"/>
      <c r="I42" s="350"/>
      <c r="J42" s="350"/>
      <c r="K42" s="350"/>
      <c r="L42" s="350"/>
      <c r="P42" s="77"/>
    </row>
    <row r="43" spans="2:16" x14ac:dyDescent="0.25">
      <c r="B43" s="84"/>
      <c r="C43" s="85"/>
      <c r="D43" s="85"/>
      <c r="E43" s="85"/>
      <c r="F43" s="85"/>
      <c r="G43" s="85"/>
      <c r="H43" s="85"/>
      <c r="I43" s="85"/>
      <c r="J43" s="85"/>
      <c r="K43" s="85"/>
      <c r="L43" s="85"/>
      <c r="M43" s="85"/>
      <c r="N43" s="85"/>
      <c r="O43" s="85"/>
      <c r="P43" s="86"/>
    </row>
    <row r="45" spans="2:16" x14ac:dyDescent="0.25">
      <c r="C45" s="185" t="s">
        <v>312</v>
      </c>
    </row>
    <row r="53" spans="3:3" x14ac:dyDescent="0.25">
      <c r="C53" s="146"/>
    </row>
  </sheetData>
  <sheetProtection selectLockedCells="1"/>
  <mergeCells count="31">
    <mergeCell ref="G34:L34"/>
    <mergeCell ref="G25:L25"/>
    <mergeCell ref="G26:L26"/>
    <mergeCell ref="G16:L16"/>
    <mergeCell ref="G17:L17"/>
    <mergeCell ref="G18:L18"/>
    <mergeCell ref="G20:L20"/>
    <mergeCell ref="G21:L21"/>
    <mergeCell ref="G32:L32"/>
    <mergeCell ref="G24:L24"/>
    <mergeCell ref="E13:E14"/>
    <mergeCell ref="C13:D14"/>
    <mergeCell ref="F13:F14"/>
    <mergeCell ref="G13:I14"/>
    <mergeCell ref="G22:L22"/>
    <mergeCell ref="G42:L42"/>
    <mergeCell ref="C32:E32"/>
    <mergeCell ref="C40:E40"/>
    <mergeCell ref="C41:E41"/>
    <mergeCell ref="C42:E42"/>
    <mergeCell ref="C36:E36"/>
    <mergeCell ref="C37:E37"/>
    <mergeCell ref="C38:E38"/>
    <mergeCell ref="C33:E33"/>
    <mergeCell ref="C34:E34"/>
    <mergeCell ref="G40:L40"/>
    <mergeCell ref="G41:L41"/>
    <mergeCell ref="G36:L36"/>
    <mergeCell ref="G37:L37"/>
    <mergeCell ref="G38:L38"/>
    <mergeCell ref="G33:L33"/>
  </mergeCells>
  <conditionalFormatting sqref="C34 F34:G34 C38 F38:G38 C42 F42:G42">
    <cfRule type="expression" priority="34" stopIfTrue="1">
      <formula>OR($G$42="",$G$42=Inputs_still_required)</formula>
    </cfRule>
    <cfRule type="expression" dxfId="20" priority="35">
      <formula>$G$42&gt;0</formula>
    </cfRule>
  </conditionalFormatting>
  <conditionalFormatting sqref="C18:G18 C22:G22 C26:G26">
    <cfRule type="expression" dxfId="19" priority="33">
      <formula>$H$9="No"</formula>
    </cfRule>
  </conditionalFormatting>
  <conditionalFormatting sqref="E13">
    <cfRule type="expression" dxfId="18" priority="15">
      <formula>$E$13="Yes"</formula>
    </cfRule>
  </conditionalFormatting>
  <conditionalFormatting sqref="J6">
    <cfRule type="expression" dxfId="17" priority="16">
      <formula>$J$6="Yes"</formula>
    </cfRule>
  </conditionalFormatting>
  <pageMargins left="0.39370078740157483" right="0.39370078740157483" top="0.39370078740157483" bottom="0.39370078740157483" header="0.19685039370078741" footer="0.19685039370078741"/>
  <pageSetup paperSize="9" orientation="landscape" r:id="rId1"/>
  <headerFooter>
    <oddHeader>&amp;L&amp;"Calibri"&amp;10&amp;K000000Official&amp;1#_x000D_&amp;"Calibri"&amp;11&amp;K000000&amp;9&amp;F</oddHeader>
    <oddFooter>&amp;R&amp;9Page &amp;P of &amp;N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error="Valid responses are 'Yes' or 'No'" xr:uid="{00000000-0002-0000-0800-000000000000}">
          <x14:formula1>
            <xm:f>'Lookup Yes and No'!$A$1:$A$2</xm:f>
          </x14:formula1>
          <xm:sqref>H9 L30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autoPageBreaks="0"/>
  </sheetPr>
  <dimension ref="B2:P70"/>
  <sheetViews>
    <sheetView workbookViewId="0">
      <selection activeCell="L39" sqref="L39"/>
    </sheetView>
  </sheetViews>
  <sheetFormatPr defaultRowHeight="12.5" x14ac:dyDescent="0.25"/>
  <cols>
    <col min="1" max="2" width="2.7265625" customWidth="1"/>
    <col min="9" max="9" width="12.1796875" bestFit="1" customWidth="1"/>
    <col min="16" max="16" width="2.7265625" customWidth="1"/>
  </cols>
  <sheetData>
    <row r="2" spans="2:16" x14ac:dyDescent="0.25">
      <c r="B2" s="73"/>
      <c r="C2" s="74"/>
      <c r="D2" s="74"/>
      <c r="E2" s="74"/>
      <c r="F2" s="74"/>
      <c r="G2" s="74"/>
      <c r="H2" s="74"/>
      <c r="I2" s="74"/>
      <c r="J2" s="74"/>
      <c r="K2" s="74"/>
      <c r="L2" s="74"/>
      <c r="M2" s="74"/>
      <c r="N2" s="74"/>
      <c r="O2" s="74"/>
      <c r="P2" s="75"/>
    </row>
    <row r="3" spans="2:16" ht="18.5" x14ac:dyDescent="0.35">
      <c r="B3" s="76"/>
      <c r="C3" s="183" t="s">
        <v>313</v>
      </c>
      <c r="P3" s="77"/>
    </row>
    <row r="4" spans="2:16" ht="19" thickBot="1" x14ac:dyDescent="0.4">
      <c r="B4" s="78"/>
      <c r="C4" s="184" t="s">
        <v>242</v>
      </c>
      <c r="D4" s="79"/>
      <c r="E4" s="79"/>
      <c r="F4" s="79"/>
      <c r="G4" s="79"/>
      <c r="H4" s="79"/>
      <c r="I4" s="79"/>
      <c r="J4" s="79"/>
      <c r="K4" s="79"/>
      <c r="L4" s="79"/>
      <c r="M4" s="79"/>
      <c r="N4" s="79"/>
      <c r="O4" s="79"/>
      <c r="P4" s="80"/>
    </row>
    <row r="5" spans="2:16" ht="13" thickTop="1" x14ac:dyDescent="0.25">
      <c r="B5" s="76"/>
      <c r="P5" s="77"/>
    </row>
    <row r="6" spans="2:16" x14ac:dyDescent="0.25">
      <c r="B6" s="76"/>
      <c r="C6" t="s">
        <v>278</v>
      </c>
      <c r="L6" s="119" t="str">
        <f>IF('Development Details'!H76&gt;=1000, "Yes", "No")</f>
        <v>No</v>
      </c>
      <c r="P6" s="77"/>
    </row>
    <row r="7" spans="2:16" x14ac:dyDescent="0.25">
      <c r="B7" s="76"/>
      <c r="C7" s="55" t="s">
        <v>74</v>
      </c>
      <c r="D7" s="152" t="str">
        <f>IF(L6="Yes","The development provides more than 1,000m² of economic floorspace","The development provides less than 1,000 m² economic floorspace")</f>
        <v>The development provides less than 1,000 m² economic floorspace</v>
      </c>
      <c r="E7" s="152"/>
      <c r="F7" s="152"/>
      <c r="G7" s="152"/>
      <c r="H7" s="152"/>
      <c r="I7" s="152"/>
      <c r="J7" s="152"/>
      <c r="P7" s="77"/>
    </row>
    <row r="8" spans="2:16" x14ac:dyDescent="0.25">
      <c r="B8" s="76"/>
      <c r="P8" s="77"/>
    </row>
    <row r="9" spans="2:16" ht="12.5" customHeight="1" x14ac:dyDescent="0.25">
      <c r="B9" s="76"/>
      <c r="C9" s="368" t="s">
        <v>279</v>
      </c>
      <c r="D9" s="368"/>
      <c r="E9" s="354" t="str">
        <f>IF(L6="No","",IF('Development Details'!H76&gt;=1000,"Provide a significant element of Open Workspace; OR provide a proportion of economic floorpsace at an affordable rent; OR in exceptional circumstances provide an off-site financial contribution",""))</f>
        <v/>
      </c>
      <c r="F9" s="354"/>
      <c r="G9" s="354"/>
      <c r="H9" s="354"/>
      <c r="I9" s="354"/>
      <c r="J9" s="354"/>
      <c r="K9" s="354"/>
      <c r="L9" s="354"/>
      <c r="M9" s="354"/>
      <c r="P9" s="77"/>
    </row>
    <row r="10" spans="2:16" x14ac:dyDescent="0.25">
      <c r="B10" s="76"/>
      <c r="C10" s="368"/>
      <c r="D10" s="368"/>
      <c r="E10" s="354"/>
      <c r="F10" s="354"/>
      <c r="G10" s="354"/>
      <c r="H10" s="354"/>
      <c r="I10" s="354"/>
      <c r="J10" s="354"/>
      <c r="K10" s="354"/>
      <c r="L10" s="354"/>
      <c r="M10" s="354"/>
      <c r="P10" s="77"/>
    </row>
    <row r="11" spans="2:16" x14ac:dyDescent="0.25">
      <c r="B11" s="76"/>
      <c r="C11" s="91"/>
      <c r="D11" s="91"/>
      <c r="E11" s="354"/>
      <c r="F11" s="354"/>
      <c r="G11" s="354"/>
      <c r="H11" s="354"/>
      <c r="I11" s="354"/>
      <c r="J11" s="354"/>
      <c r="K11" s="354"/>
      <c r="L11" s="354"/>
      <c r="M11" s="354"/>
      <c r="P11" s="77"/>
    </row>
    <row r="12" spans="2:16" x14ac:dyDescent="0.25">
      <c r="B12" s="76"/>
      <c r="P12" s="77"/>
    </row>
    <row r="13" spans="2:16" x14ac:dyDescent="0.25">
      <c r="B13" s="76"/>
      <c r="C13" t="s">
        <v>280</v>
      </c>
      <c r="K13" s="367"/>
      <c r="L13" s="367"/>
      <c r="M13" s="367"/>
      <c r="P13" s="77"/>
    </row>
    <row r="14" spans="2:16" x14ac:dyDescent="0.25">
      <c r="B14" s="76"/>
      <c r="P14" s="77"/>
    </row>
    <row r="15" spans="2:16" ht="12.5" customHeight="1" x14ac:dyDescent="0.25">
      <c r="B15" s="76"/>
      <c r="I15" s="455" t="s">
        <v>372</v>
      </c>
      <c r="J15" s="455"/>
      <c r="K15" s="455"/>
      <c r="L15" s="455"/>
      <c r="M15" s="455"/>
      <c r="N15" s="455"/>
      <c r="O15" s="455"/>
      <c r="P15" s="77"/>
    </row>
    <row r="16" spans="2:16" x14ac:dyDescent="0.25">
      <c r="B16" s="76"/>
      <c r="I16" s="455"/>
      <c r="J16" s="455"/>
      <c r="K16" s="455"/>
      <c r="L16" s="455"/>
      <c r="M16" s="455"/>
      <c r="N16" s="455"/>
      <c r="O16" s="455"/>
      <c r="P16" s="77"/>
    </row>
    <row r="17" spans="2:16" ht="15" x14ac:dyDescent="0.3">
      <c r="B17" s="76"/>
      <c r="C17" s="186" t="s">
        <v>281</v>
      </c>
      <c r="I17" s="455"/>
      <c r="J17" s="455"/>
      <c r="K17" s="455"/>
      <c r="L17" s="455"/>
      <c r="M17" s="455"/>
      <c r="N17" s="455"/>
      <c r="O17" s="455"/>
      <c r="P17" s="77"/>
    </row>
    <row r="18" spans="2:16" x14ac:dyDescent="0.25">
      <c r="B18" s="76"/>
      <c r="P18" s="77"/>
    </row>
    <row r="19" spans="2:16" ht="12.5" customHeight="1" x14ac:dyDescent="0.25">
      <c r="B19" s="76"/>
      <c r="C19" s="126" t="s">
        <v>86</v>
      </c>
      <c r="D19" s="126"/>
      <c r="E19" s="126"/>
      <c r="F19" s="126"/>
      <c r="G19" s="121" t="s">
        <v>78</v>
      </c>
      <c r="H19" s="342" t="str">
        <f>IF(L6="No","", IF(K13="Open Workspace","10% of gross economic floorspace and no less than 400m² (whichever is greater)", ""))</f>
        <v/>
      </c>
      <c r="I19" s="342"/>
      <c r="J19" s="342"/>
      <c r="K19" s="342"/>
      <c r="L19" s="342"/>
      <c r="M19" s="342"/>
      <c r="N19" s="342"/>
      <c r="P19" s="77"/>
    </row>
    <row r="20" spans="2:16" x14ac:dyDescent="0.25">
      <c r="B20" s="76"/>
      <c r="C20" s="126"/>
      <c r="D20" s="126"/>
      <c r="E20" s="126"/>
      <c r="F20" s="126"/>
      <c r="G20" s="121"/>
      <c r="H20" s="342"/>
      <c r="I20" s="342"/>
      <c r="J20" s="342"/>
      <c r="K20" s="342"/>
      <c r="L20" s="342"/>
      <c r="M20" s="342"/>
      <c r="N20" s="342"/>
      <c r="P20" s="77"/>
    </row>
    <row r="21" spans="2:16" x14ac:dyDescent="0.25">
      <c r="B21" s="76"/>
      <c r="C21" s="127"/>
      <c r="D21" s="127"/>
      <c r="E21" s="127"/>
      <c r="F21" s="127"/>
      <c r="G21" s="122" t="s">
        <v>78</v>
      </c>
      <c r="H21" s="310" t="str">
        <f>IF(K13="Open Workspace","greater of 400 and (10% × "&amp;TEXT('Development Details'!H76,"#,##0")&amp;")","")</f>
        <v/>
      </c>
      <c r="I21" s="310"/>
      <c r="J21" s="310"/>
      <c r="K21" s="310"/>
      <c r="L21" s="310"/>
      <c r="M21" s="310"/>
      <c r="N21" s="310"/>
      <c r="P21" s="77"/>
    </row>
    <row r="22" spans="2:16" x14ac:dyDescent="0.25">
      <c r="B22" s="76"/>
      <c r="C22" s="127"/>
      <c r="D22" s="127"/>
      <c r="E22" s="127"/>
      <c r="F22" s="127"/>
      <c r="G22" s="122" t="s">
        <v>78</v>
      </c>
      <c r="H22" s="310" t="str">
        <f>IF(H21="","","greater of 400 and "&amp;TEXT(0.1*'Development Details'!H76,"#,##0"))</f>
        <v/>
      </c>
      <c r="I22" s="310"/>
      <c r="J22" s="310"/>
      <c r="K22" s="310"/>
      <c r="L22" s="310"/>
      <c r="M22" s="310"/>
      <c r="N22" s="310"/>
      <c r="P22" s="77"/>
    </row>
    <row r="23" spans="2:16" x14ac:dyDescent="0.25">
      <c r="B23" s="76"/>
      <c r="C23" s="119"/>
      <c r="D23" s="119"/>
      <c r="E23" s="119"/>
      <c r="F23" s="119"/>
      <c r="G23" s="123" t="s">
        <v>78</v>
      </c>
      <c r="H23" s="365" t="str">
        <f>IF(H22="","",IF((0.1*'Development Details'!H76)&gt;400,TEXT(0.1*'Development Details'!H76,"#,##0"),400))</f>
        <v/>
      </c>
      <c r="I23" s="365"/>
      <c r="J23" s="365"/>
      <c r="K23" s="365"/>
      <c r="L23" s="365"/>
      <c r="M23" s="365"/>
      <c r="N23" s="365"/>
      <c r="P23" s="77"/>
    </row>
    <row r="24" spans="2:16" x14ac:dyDescent="0.25">
      <c r="B24" s="76"/>
      <c r="P24" s="77"/>
    </row>
    <row r="25" spans="2:16" ht="15" x14ac:dyDescent="0.3">
      <c r="B25" s="76"/>
      <c r="C25" s="186" t="s">
        <v>282</v>
      </c>
      <c r="P25" s="77"/>
    </row>
    <row r="26" spans="2:16" ht="16" x14ac:dyDescent="0.3">
      <c r="B26" s="76"/>
      <c r="C26" s="3"/>
      <c r="P26" s="77"/>
    </row>
    <row r="27" spans="2:16" x14ac:dyDescent="0.25">
      <c r="B27" s="76"/>
      <c r="C27" t="s">
        <v>284</v>
      </c>
      <c r="K27" s="125"/>
      <c r="P27" s="77"/>
    </row>
    <row r="28" spans="2:16" x14ac:dyDescent="0.25">
      <c r="B28" s="76"/>
      <c r="P28" s="77"/>
    </row>
    <row r="29" spans="2:16" ht="12.5" customHeight="1" x14ac:dyDescent="0.25">
      <c r="B29" s="76"/>
      <c r="C29" s="312" t="s">
        <v>87</v>
      </c>
      <c r="D29" s="312"/>
      <c r="E29" s="312"/>
      <c r="F29" s="312"/>
      <c r="G29" s="121" t="s">
        <v>78</v>
      </c>
      <c r="H29" s="369" t="str" cm="1">
        <f t="array" ref="H29">_xlfn.IFS(
    K13="Affordable Workspace",
        IF(K27="",
            "Inputs still required",
            IF(K27="Yes",
                "10% of economic floorspace capped at 50% of the market rate for comparable premises",
                "10% of economic floorspace capped at 80% of the market rate for comparable premises"
            )
        ),
    TRUE, ""
)</f>
        <v/>
      </c>
      <c r="I29" s="369"/>
      <c r="J29" s="369"/>
      <c r="K29" s="369"/>
      <c r="L29" s="369"/>
      <c r="M29" s="369"/>
      <c r="N29" s="369"/>
      <c r="P29" s="77"/>
    </row>
    <row r="30" spans="2:16" ht="12.5" customHeight="1" x14ac:dyDescent="0.25">
      <c r="B30" s="76"/>
      <c r="C30" s="149"/>
      <c r="D30" s="149"/>
      <c r="E30" s="149"/>
      <c r="F30" s="149"/>
      <c r="G30" s="121"/>
      <c r="H30" s="369"/>
      <c r="I30" s="369"/>
      <c r="J30" s="369"/>
      <c r="K30" s="369"/>
      <c r="L30" s="369"/>
      <c r="M30" s="369"/>
      <c r="N30" s="369"/>
      <c r="P30" s="77"/>
    </row>
    <row r="31" spans="2:16" x14ac:dyDescent="0.25">
      <c r="B31" s="76"/>
      <c r="C31" s="299"/>
      <c r="D31" s="299"/>
      <c r="E31" s="299"/>
      <c r="F31" s="299"/>
      <c r="G31" s="122" t="s">
        <v>78</v>
      </c>
      <c r="H31" s="310" t="str">
        <f>IF(K13="Affordable Workspace",
    IF(K27="",
        "Inputs still required",
        "10% × " &amp; TEXT('Development Details'!H76,"#,##0")
    ),
"")</f>
        <v/>
      </c>
      <c r="I31" s="310"/>
      <c r="J31" s="310"/>
      <c r="K31" s="310"/>
      <c r="L31" s="310"/>
      <c r="M31" s="310"/>
      <c r="N31" s="310"/>
      <c r="P31" s="77"/>
    </row>
    <row r="32" spans="2:16" x14ac:dyDescent="0.25">
      <c r="B32" s="76"/>
      <c r="C32" s="346"/>
      <c r="D32" s="346"/>
      <c r="E32" s="346"/>
      <c r="F32" s="346"/>
      <c r="G32" s="123" t="s">
        <v>78</v>
      </c>
      <c r="H32" s="365" t="str">
        <f>IF(K13="Affordable Workspace",
    IF(K27="",
        "Inputs still required",
        0.1 * 'Development Details'!H76
    ),
"")</f>
        <v/>
      </c>
      <c r="I32" s="365"/>
      <c r="J32" s="365"/>
      <c r="K32" s="365"/>
      <c r="L32" s="365"/>
      <c r="M32" s="365"/>
      <c r="N32" s="365"/>
      <c r="P32" s="77"/>
    </row>
    <row r="33" spans="2:16" x14ac:dyDescent="0.25">
      <c r="B33" s="76"/>
      <c r="P33" s="77"/>
    </row>
    <row r="34" spans="2:16" x14ac:dyDescent="0.25">
      <c r="B34" s="76"/>
      <c r="P34" s="77"/>
    </row>
    <row r="35" spans="2:16" ht="15" x14ac:dyDescent="0.3">
      <c r="B35" s="76"/>
      <c r="C35" s="186" t="s">
        <v>283</v>
      </c>
      <c r="P35" s="77"/>
    </row>
    <row r="36" spans="2:16" ht="16" x14ac:dyDescent="0.3">
      <c r="B36" s="76"/>
      <c r="C36" s="3"/>
      <c r="P36" s="77"/>
    </row>
    <row r="37" spans="2:16" ht="12.5" customHeight="1" x14ac:dyDescent="0.25">
      <c r="B37" s="76"/>
      <c r="C37" t="s">
        <v>284</v>
      </c>
      <c r="L37" s="125"/>
      <c r="N37" s="366" t="s">
        <v>328</v>
      </c>
      <c r="O37" s="366"/>
      <c r="P37" s="77"/>
    </row>
    <row r="38" spans="2:16" ht="12.5" customHeight="1" x14ac:dyDescent="0.25">
      <c r="B38" s="76"/>
      <c r="C38" t="s">
        <v>301</v>
      </c>
      <c r="L38" s="97"/>
      <c r="N38" s="366"/>
      <c r="O38" s="366"/>
      <c r="P38" s="451"/>
    </row>
    <row r="39" spans="2:16" x14ac:dyDescent="0.25">
      <c r="B39" s="76"/>
      <c r="C39" t="s">
        <v>287</v>
      </c>
      <c r="L39" s="174"/>
      <c r="M39" s="199"/>
      <c r="N39" s="366"/>
      <c r="O39" s="366"/>
      <c r="P39" s="451"/>
    </row>
    <row r="40" spans="2:16" x14ac:dyDescent="0.25">
      <c r="B40" s="76"/>
      <c r="M40" s="199"/>
      <c r="N40" s="366"/>
      <c r="O40" s="366"/>
      <c r="P40" s="451"/>
    </row>
    <row r="41" spans="2:16" x14ac:dyDescent="0.25">
      <c r="B41" s="76"/>
      <c r="M41" s="199"/>
      <c r="N41" s="366"/>
      <c r="O41" s="366"/>
      <c r="P41" s="451"/>
    </row>
    <row r="42" spans="2:16" x14ac:dyDescent="0.25">
      <c r="B42" s="76"/>
      <c r="I42" s="204" t="s">
        <v>355</v>
      </c>
      <c r="K42" s="204" t="s">
        <v>345</v>
      </c>
      <c r="L42" s="178"/>
      <c r="N42" s="450"/>
      <c r="O42" s="450"/>
      <c r="P42" s="451"/>
    </row>
    <row r="43" spans="2:16" ht="12.5" customHeight="1" x14ac:dyDescent="0.25">
      <c r="B43" s="76"/>
      <c r="C43" s="165" t="s">
        <v>11</v>
      </c>
      <c r="D43" s="360" t="s">
        <v>327</v>
      </c>
      <c r="E43" s="360"/>
      <c r="F43" s="360"/>
      <c r="G43" s="360"/>
      <c r="H43" s="121" t="s">
        <v>78</v>
      </c>
      <c r="I43" s="172" t="str">
        <f>IF(K13="Financial Contribution",'Development Details'!H76,"")</f>
        <v/>
      </c>
      <c r="J43" s="168"/>
      <c r="K43" s="168"/>
      <c r="L43" s="168"/>
      <c r="M43" s="168"/>
      <c r="N43" s="168"/>
      <c r="P43" s="77"/>
    </row>
    <row r="44" spans="2:16" x14ac:dyDescent="0.25">
      <c r="B44" s="76"/>
      <c r="C44" s="165" t="s">
        <v>12</v>
      </c>
      <c r="D44" s="171" t="s">
        <v>286</v>
      </c>
      <c r="E44" s="171"/>
      <c r="F44" s="171"/>
      <c r="G44" s="173"/>
      <c r="H44" s="121" t="s">
        <v>78</v>
      </c>
      <c r="I44" s="167" t="str">
        <f>IF(K13="Financial Contribution", 10%, "")</f>
        <v/>
      </c>
      <c r="J44" s="166"/>
      <c r="K44" s="166"/>
      <c r="L44" s="166"/>
      <c r="M44" s="166"/>
      <c r="N44" s="168"/>
      <c r="P44" s="77"/>
    </row>
    <row r="45" spans="2:16" x14ac:dyDescent="0.25">
      <c r="B45" s="76"/>
      <c r="C45" s="165" t="s">
        <v>13</v>
      </c>
      <c r="D45" s="168" t="s">
        <v>285</v>
      </c>
      <c r="E45" s="168"/>
      <c r="F45" s="168"/>
      <c r="G45" s="173"/>
      <c r="H45" s="121" t="s">
        <v>78</v>
      </c>
      <c r="I45" s="166" t="str">
        <f>IF(K13="Financial Contribution",I43*I44,"")</f>
        <v/>
      </c>
      <c r="J45" s="162"/>
      <c r="K45" s="162" t="s">
        <v>340</v>
      </c>
      <c r="L45" s="162"/>
      <c r="M45" s="162"/>
      <c r="N45" s="168"/>
      <c r="P45" s="77"/>
    </row>
    <row r="46" spans="2:16" x14ac:dyDescent="0.25">
      <c r="B46" s="76"/>
      <c r="C46" s="165" t="s">
        <v>14</v>
      </c>
      <c r="D46" s="168" t="s">
        <v>293</v>
      </c>
      <c r="E46" s="149"/>
      <c r="F46" s="149"/>
      <c r="G46" s="173"/>
      <c r="H46" s="121" t="s">
        <v>78</v>
      </c>
      <c r="I46" s="212" t="str">
        <f>IF(K13="Financial Contribution", IF(L38="", "Inputs still required", L38), "")</f>
        <v/>
      </c>
      <c r="J46" s="162"/>
      <c r="K46" s="162"/>
      <c r="L46" s="162"/>
      <c r="M46" s="162"/>
      <c r="N46" s="168"/>
      <c r="P46" s="77"/>
    </row>
    <row r="47" spans="2:16" ht="12.5" customHeight="1" x14ac:dyDescent="0.25">
      <c r="B47" s="76"/>
      <c r="C47" s="364" t="s">
        <v>16</v>
      </c>
      <c r="D47" s="360" t="s">
        <v>294</v>
      </c>
      <c r="E47" s="360"/>
      <c r="F47" s="360"/>
      <c r="G47" s="360"/>
      <c r="H47" s="359" t="s">
        <v>78</v>
      </c>
      <c r="I47" s="363" t="str">
        <f>IF(K13="Financial Contribution", IF(L38="", "Inputs still required", I45*I46), "")</f>
        <v/>
      </c>
      <c r="J47" s="363"/>
      <c r="K47" s="362" t="s">
        <v>341</v>
      </c>
      <c r="L47" s="362"/>
      <c r="M47" s="173"/>
      <c r="N47" s="168"/>
      <c r="P47" s="77"/>
    </row>
    <row r="48" spans="2:16" ht="12.5" customHeight="1" x14ac:dyDescent="0.25">
      <c r="B48" s="76"/>
      <c r="C48" s="364"/>
      <c r="D48" s="360"/>
      <c r="E48" s="360"/>
      <c r="F48" s="360"/>
      <c r="G48" s="360"/>
      <c r="H48" s="359"/>
      <c r="I48" s="363"/>
      <c r="J48" s="363"/>
      <c r="K48" s="362"/>
      <c r="L48" s="362"/>
      <c r="M48" s="173"/>
      <c r="N48" s="168"/>
      <c r="P48" s="77"/>
    </row>
    <row r="49" spans="2:16" x14ac:dyDescent="0.25">
      <c r="B49" s="76"/>
      <c r="C49" s="165" t="s">
        <v>17</v>
      </c>
      <c r="D49" s="360" t="s">
        <v>295</v>
      </c>
      <c r="E49" s="360"/>
      <c r="F49" s="360"/>
      <c r="G49" s="360"/>
      <c r="H49" s="169" t="s">
        <v>78</v>
      </c>
      <c r="I49" s="175" t="str">
        <f>IF(K13="Financial Contribution", IF(L37="", "Inputs still required", IF(L37="Yes", 50%, 20%)), "")</f>
        <v/>
      </c>
      <c r="J49" s="173"/>
      <c r="K49" s="173"/>
      <c r="L49" s="173"/>
      <c r="M49" s="173"/>
      <c r="N49" s="168"/>
      <c r="P49" s="77"/>
    </row>
    <row r="50" spans="2:16" x14ac:dyDescent="0.25">
      <c r="B50" s="76"/>
      <c r="C50" s="165" t="s">
        <v>288</v>
      </c>
      <c r="D50" s="360" t="s">
        <v>296</v>
      </c>
      <c r="E50" s="360"/>
      <c r="F50" s="360"/>
      <c r="G50" s="360"/>
      <c r="H50" s="141" t="s">
        <v>78</v>
      </c>
      <c r="I50" s="211" t="str">
        <f>IF(K13="Financial Contribution", IF(L38="", "Inputs still required", I47*(1-I49)), "")</f>
        <v/>
      </c>
      <c r="J50" s="170"/>
      <c r="K50" s="198" t="s">
        <v>342</v>
      </c>
      <c r="L50" s="170"/>
      <c r="M50" s="170"/>
      <c r="N50" s="168"/>
      <c r="P50" s="77"/>
    </row>
    <row r="51" spans="2:16" x14ac:dyDescent="0.25">
      <c r="B51" s="76"/>
      <c r="C51" s="165" t="s">
        <v>289</v>
      </c>
      <c r="D51" s="360" t="s">
        <v>297</v>
      </c>
      <c r="E51" s="360"/>
      <c r="F51" s="360"/>
      <c r="G51" s="360"/>
      <c r="H51" s="141" t="s">
        <v>78</v>
      </c>
      <c r="I51" s="212" t="str">
        <f>IF(K13="Financial Contribution", IF(L38="", "Inputs still required", I47-I50), "")</f>
        <v/>
      </c>
      <c r="J51" s="170"/>
      <c r="K51" s="198" t="s">
        <v>343</v>
      </c>
      <c r="L51" s="170"/>
      <c r="M51" s="170"/>
      <c r="N51" s="168"/>
      <c r="P51" s="77"/>
    </row>
    <row r="52" spans="2:16" x14ac:dyDescent="0.25">
      <c r="B52" s="76"/>
      <c r="C52" s="165" t="s">
        <v>290</v>
      </c>
      <c r="D52" s="361" t="s">
        <v>298</v>
      </c>
      <c r="E52" s="361"/>
      <c r="F52" s="361"/>
      <c r="G52" s="361"/>
      <c r="H52" s="141" t="s">
        <v>78</v>
      </c>
      <c r="I52" s="176" t="str">
        <f>IF(K13="Financial Contribution", IF(L39="", "Inputs still required", L39), "")</f>
        <v/>
      </c>
      <c r="J52" s="170"/>
      <c r="K52" s="170"/>
      <c r="L52" s="170"/>
      <c r="M52" s="170"/>
      <c r="N52" s="168"/>
      <c r="P52" s="77"/>
    </row>
    <row r="53" spans="2:16" x14ac:dyDescent="0.25">
      <c r="B53" s="76"/>
      <c r="C53" s="165" t="s">
        <v>291</v>
      </c>
      <c r="D53" s="166" t="s">
        <v>299</v>
      </c>
      <c r="E53" s="164"/>
      <c r="F53" s="164"/>
      <c r="G53" s="169"/>
      <c r="H53" s="141" t="s">
        <v>78</v>
      </c>
      <c r="I53" s="213" t="str">
        <f>IF(K13="Financial Contribution", IF(L39="", "Inputs still required", 1/I52), "")</f>
        <v/>
      </c>
      <c r="J53" s="170"/>
      <c r="K53" s="198" t="s">
        <v>344</v>
      </c>
      <c r="L53" s="170"/>
      <c r="M53" s="170"/>
      <c r="N53" s="168"/>
      <c r="P53" s="77"/>
    </row>
    <row r="54" spans="2:16" x14ac:dyDescent="0.25">
      <c r="B54" s="76"/>
      <c r="C54" s="177" t="s">
        <v>292</v>
      </c>
      <c r="D54" s="179" t="s">
        <v>300</v>
      </c>
      <c r="E54" s="179"/>
      <c r="F54" s="179"/>
      <c r="G54" s="179"/>
      <c r="H54" s="177" t="s">
        <v>78</v>
      </c>
      <c r="I54" s="358" t="str">
        <f>IF(K13="Financial Contribution",
    IF(OR(L38="", L39=""), "Inputs still required", I51*I53),
    "")</f>
        <v/>
      </c>
      <c r="J54" s="358"/>
      <c r="K54" s="358"/>
      <c r="L54" s="358"/>
      <c r="M54" s="358"/>
      <c r="N54" s="179"/>
      <c r="P54" s="77"/>
    </row>
    <row r="55" spans="2:16" x14ac:dyDescent="0.25">
      <c r="B55" s="84"/>
      <c r="C55" s="85"/>
      <c r="D55" s="85"/>
      <c r="E55" s="85"/>
      <c r="F55" s="85"/>
      <c r="G55" s="85"/>
      <c r="H55" s="85"/>
      <c r="I55" s="85"/>
      <c r="J55" s="85"/>
      <c r="K55" s="85"/>
      <c r="L55" s="85"/>
      <c r="M55" s="85"/>
      <c r="N55" s="85"/>
      <c r="O55" s="85"/>
      <c r="P55" s="86"/>
    </row>
    <row r="57" spans="2:16" x14ac:dyDescent="0.25">
      <c r="C57" s="185" t="s">
        <v>312</v>
      </c>
    </row>
    <row r="70" spans="3:3" x14ac:dyDescent="0.25">
      <c r="C70" s="146"/>
    </row>
  </sheetData>
  <sheetProtection selectLockedCells="1"/>
  <mergeCells count="26">
    <mergeCell ref="K13:M13"/>
    <mergeCell ref="E9:M11"/>
    <mergeCell ref="C29:F29"/>
    <mergeCell ref="C9:D10"/>
    <mergeCell ref="C31:F31"/>
    <mergeCell ref="H29:N30"/>
    <mergeCell ref="H19:N20"/>
    <mergeCell ref="H21:N21"/>
    <mergeCell ref="H22:N22"/>
    <mergeCell ref="H23:N23"/>
    <mergeCell ref="I15:O17"/>
    <mergeCell ref="C47:C48"/>
    <mergeCell ref="D47:G48"/>
    <mergeCell ref="H31:N31"/>
    <mergeCell ref="H32:N32"/>
    <mergeCell ref="C32:F32"/>
    <mergeCell ref="D43:G43"/>
    <mergeCell ref="N37:O41"/>
    <mergeCell ref="I54:M54"/>
    <mergeCell ref="H47:H48"/>
    <mergeCell ref="D49:G49"/>
    <mergeCell ref="D50:G50"/>
    <mergeCell ref="D51:G51"/>
    <mergeCell ref="D52:G52"/>
    <mergeCell ref="K47:L48"/>
    <mergeCell ref="I47:J48"/>
  </mergeCells>
  <conditionalFormatting sqref="C23:H23">
    <cfRule type="expression" dxfId="16" priority="8">
      <formula>$K$13="Open Workspace"</formula>
    </cfRule>
  </conditionalFormatting>
  <conditionalFormatting sqref="C32:N32">
    <cfRule type="expression" dxfId="15" priority="1">
      <formula>$K$13="Affordable Workspace"</formula>
    </cfRule>
  </conditionalFormatting>
  <conditionalFormatting sqref="C54:N54">
    <cfRule type="expression" dxfId="14" priority="14">
      <formula>$K$13="Financial Contribution"</formula>
    </cfRule>
  </conditionalFormatting>
  <conditionalFormatting sqref="L6 E9">
    <cfRule type="expression" dxfId="13" priority="17">
      <formula>$L$6="Yes"</formula>
    </cfRule>
  </conditionalFormatting>
  <pageMargins left="0.39370078740157483" right="0.39370078740157483" top="0.39370078740157483" bottom="0.39370078740157483" header="0.19685039370078741" footer="0.19685039370078741"/>
  <pageSetup paperSize="9" orientation="landscape" r:id="rId1"/>
  <headerFooter>
    <oddHeader>&amp;L&amp;"Calibri"&amp;10&amp;K000000Official&amp;1#_x000D_&amp;"Calibri"&amp;11&amp;K000000&amp;9&amp;F</oddHeader>
    <oddFooter>&amp;R&amp;9Page &amp;P of &amp;N</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error="Valid responses are 'Yes' or 'No'" xr:uid="{581DCFC1-ADD1-4E3F-9217-57023A57CC1A}">
          <x14:formula1>
            <xm:f>'Lookup workspace contribution'!$A$1:$A$3</xm:f>
          </x14:formula1>
          <xm:sqref>K13</xm:sqref>
        </x14:dataValidation>
        <x14:dataValidation type="list" allowBlank="1" showInputMessage="1" showErrorMessage="1" error="Valid responses are 'Yes' or 'No'" xr:uid="{D2F783FC-6C27-43BA-9687-4E39D608BB02}">
          <x14:formula1>
            <xm:f>'Lookup Yes and No'!$A$1:$A$2</xm:f>
          </x14:formula1>
          <xm:sqref>K27 L37</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pageSetUpPr autoPageBreaks="0"/>
  </sheetPr>
  <dimension ref="B2:P76"/>
  <sheetViews>
    <sheetView workbookViewId="0">
      <selection activeCell="D60" activeCellId="1" sqref="D29:D31 D60"/>
    </sheetView>
  </sheetViews>
  <sheetFormatPr defaultColWidth="9.1796875" defaultRowHeight="12.5" x14ac:dyDescent="0.25"/>
  <cols>
    <col min="1" max="2" width="2.7265625" customWidth="1"/>
    <col min="5" max="5" width="9.1796875" customWidth="1"/>
    <col min="7" max="7" width="9.1796875" customWidth="1"/>
    <col min="10" max="10" width="9.1796875" customWidth="1"/>
    <col min="16" max="16" width="2.7265625" customWidth="1"/>
  </cols>
  <sheetData>
    <row r="2" spans="2:16" x14ac:dyDescent="0.25">
      <c r="B2" s="73"/>
      <c r="C2" s="74"/>
      <c r="D2" s="74"/>
      <c r="E2" s="74"/>
      <c r="F2" s="74"/>
      <c r="G2" s="74"/>
      <c r="H2" s="74"/>
      <c r="I2" s="74"/>
      <c r="J2" s="74"/>
      <c r="K2" s="74"/>
      <c r="L2" s="74"/>
      <c r="M2" s="74"/>
      <c r="N2" s="74"/>
      <c r="O2" s="74"/>
      <c r="P2" s="75"/>
    </row>
    <row r="3" spans="2:16" ht="18.5" x14ac:dyDescent="0.35">
      <c r="B3" s="76"/>
      <c r="C3" s="183" t="s">
        <v>313</v>
      </c>
      <c r="P3" s="77"/>
    </row>
    <row r="4" spans="2:16" ht="19" thickBot="1" x14ac:dyDescent="0.4">
      <c r="B4" s="78"/>
      <c r="C4" s="184" t="s">
        <v>243</v>
      </c>
      <c r="D4" s="79"/>
      <c r="E4" s="79"/>
      <c r="F4" s="79"/>
      <c r="G4" s="79"/>
      <c r="H4" s="79"/>
      <c r="I4" s="79"/>
      <c r="J4" s="79"/>
      <c r="K4" s="79"/>
      <c r="L4" s="79"/>
      <c r="M4" s="79"/>
      <c r="N4" s="79"/>
      <c r="O4" s="79"/>
      <c r="P4" s="80"/>
    </row>
    <row r="5" spans="2:16" ht="13" thickTop="1" x14ac:dyDescent="0.25">
      <c r="B5" s="76"/>
      <c r="P5" s="77"/>
    </row>
    <row r="6" spans="2:16" ht="12.5" customHeight="1" x14ac:dyDescent="0.25">
      <c r="B6" s="76"/>
      <c r="C6" s="225" t="s">
        <v>302</v>
      </c>
      <c r="D6" s="225"/>
      <c r="E6" s="225"/>
      <c r="F6" s="225"/>
      <c r="G6" s="225"/>
      <c r="H6" s="225"/>
      <c r="I6" s="225"/>
      <c r="J6" s="225"/>
      <c r="K6" s="225"/>
      <c r="L6" s="225"/>
      <c r="M6" s="119" t="str">
        <f>IF(OR('Development Details'!G32&gt;=100,'Development Details'!H83&gt;=1000),"Yes","No")</f>
        <v>No</v>
      </c>
      <c r="P6" s="77"/>
    </row>
    <row r="7" spans="2:16" x14ac:dyDescent="0.25">
      <c r="B7" s="76"/>
      <c r="C7" s="225"/>
      <c r="D7" s="225"/>
      <c r="E7" s="225"/>
      <c r="F7" s="225"/>
      <c r="G7" s="225"/>
      <c r="H7" s="225"/>
      <c r="I7" s="225"/>
      <c r="J7" s="225"/>
      <c r="K7" s="225"/>
      <c r="L7" s="225"/>
      <c r="M7" s="161"/>
      <c r="P7" s="77"/>
    </row>
    <row r="8" spans="2:16" x14ac:dyDescent="0.25">
      <c r="B8" s="76"/>
      <c r="C8" s="55" t="s">
        <v>74</v>
      </c>
      <c r="D8" s="119" t="str">
        <f>IF(M6="Yes","The development provides 100 or more dwellings OR 1,000m² or more non-residential floorspace","The development provides less than 100 dwellings and less than 1,000m² non-residential floorspace")</f>
        <v>The development provides less than 100 dwellings and less than 1,000m² non-residential floorspace</v>
      </c>
      <c r="E8" s="119"/>
      <c r="F8" s="119"/>
      <c r="G8" s="119"/>
      <c r="H8" s="119"/>
      <c r="I8" s="119"/>
      <c r="J8" s="119"/>
      <c r="K8" s="119"/>
      <c r="L8" s="119"/>
      <c r="M8" s="119"/>
      <c r="P8" s="77"/>
    </row>
    <row r="9" spans="2:16" x14ac:dyDescent="0.25">
      <c r="B9" s="76"/>
      <c r="P9" s="77"/>
    </row>
    <row r="10" spans="2:16" ht="12.5" customHeight="1" x14ac:dyDescent="0.25">
      <c r="B10" s="76"/>
      <c r="C10" s="372" t="s">
        <v>303</v>
      </c>
      <c r="D10" s="372"/>
      <c r="E10" s="372"/>
      <c r="F10" s="372"/>
      <c r="G10" s="372"/>
      <c r="H10" s="372"/>
      <c r="I10" s="372"/>
      <c r="J10" s="372"/>
      <c r="K10" s="372"/>
      <c r="L10" s="372"/>
      <c r="M10" s="119" t="str">
        <f>IF(M6="Yes","No",IF(AND('Development Details'!G32&gt;=10,'Development Details'!G32&lt;100),"Yes","No"))</f>
        <v>No</v>
      </c>
      <c r="P10" s="77"/>
    </row>
    <row r="11" spans="2:16" x14ac:dyDescent="0.25">
      <c r="B11" s="76"/>
      <c r="C11" s="372"/>
      <c r="D11" s="372"/>
      <c r="E11" s="372"/>
      <c r="F11" s="372"/>
      <c r="G11" s="372"/>
      <c r="H11" s="372"/>
      <c r="I11" s="372"/>
      <c r="J11" s="372"/>
      <c r="K11" s="372"/>
      <c r="L11" s="372"/>
      <c r="M11" s="161"/>
      <c r="P11" s="77"/>
    </row>
    <row r="12" spans="2:16" x14ac:dyDescent="0.25">
      <c r="B12" s="76"/>
      <c r="C12" s="270" t="s">
        <v>74</v>
      </c>
      <c r="D12" s="354" t="str">
        <f>IF(M10="Yes","The development provides between 10 and 99 dwellings","The development already provides a contribution expected from larger developments or does not provide between 10 and 99 dwellings")</f>
        <v>The development already provides a contribution expected from larger developments or does not provide between 10 and 99 dwellings</v>
      </c>
      <c r="E12" s="354"/>
      <c r="F12" s="354"/>
      <c r="G12" s="354"/>
      <c r="H12" s="354"/>
      <c r="I12" s="354"/>
      <c r="J12" s="354"/>
      <c r="K12" s="354"/>
      <c r="L12" s="354"/>
      <c r="M12" s="354"/>
      <c r="P12" s="77"/>
    </row>
    <row r="13" spans="2:16" x14ac:dyDescent="0.25">
      <c r="B13" s="76"/>
      <c r="C13" s="270"/>
      <c r="D13" s="354"/>
      <c r="E13" s="354"/>
      <c r="F13" s="354"/>
      <c r="G13" s="354"/>
      <c r="H13" s="354"/>
      <c r="I13" s="354"/>
      <c r="J13" s="354"/>
      <c r="K13" s="354"/>
      <c r="L13" s="354"/>
      <c r="M13" s="354"/>
      <c r="P13" s="77"/>
    </row>
    <row r="14" spans="2:16" x14ac:dyDescent="0.25">
      <c r="B14" s="76"/>
      <c r="C14" s="180"/>
      <c r="D14" s="180"/>
      <c r="E14" s="180"/>
      <c r="F14" s="180"/>
      <c r="G14" s="180"/>
      <c r="H14" s="180"/>
      <c r="I14" s="180"/>
      <c r="J14" s="180"/>
      <c r="K14" s="180"/>
      <c r="L14" s="180"/>
      <c r="M14" s="180"/>
      <c r="P14" s="77"/>
    </row>
    <row r="15" spans="2:16" x14ac:dyDescent="0.25">
      <c r="B15" s="73"/>
      <c r="C15" s="74"/>
      <c r="D15" s="74"/>
      <c r="E15" s="74"/>
      <c r="F15" s="74"/>
      <c r="G15" s="74"/>
      <c r="H15" s="74"/>
      <c r="I15" s="74"/>
      <c r="J15" s="74"/>
      <c r="K15" s="74"/>
      <c r="L15" s="74"/>
      <c r="M15" s="74"/>
      <c r="N15" s="74"/>
      <c r="O15" s="74"/>
      <c r="P15" s="75"/>
    </row>
    <row r="16" spans="2:16" ht="15" x14ac:dyDescent="0.3">
      <c r="B16" s="76"/>
      <c r="C16" s="186" t="s">
        <v>311</v>
      </c>
      <c r="D16" s="180"/>
      <c r="E16" s="180"/>
      <c r="F16" s="180"/>
      <c r="G16" s="180"/>
      <c r="H16" s="180"/>
      <c r="I16" s="180"/>
      <c r="J16" s="180"/>
      <c r="K16" s="180"/>
      <c r="L16" s="180"/>
      <c r="M16" s="180"/>
      <c r="P16" s="77"/>
    </row>
    <row r="17" spans="2:16" ht="15" x14ac:dyDescent="0.3">
      <c r="B17" s="76"/>
      <c r="C17" s="186" t="s">
        <v>75</v>
      </c>
      <c r="P17" s="77"/>
    </row>
    <row r="18" spans="2:16" x14ac:dyDescent="0.25">
      <c r="B18" s="76"/>
      <c r="P18" s="77"/>
    </row>
    <row r="19" spans="2:16" x14ac:dyDescent="0.25">
      <c r="B19" s="76"/>
      <c r="C19" s="120" t="s">
        <v>76</v>
      </c>
      <c r="G19" s="294"/>
      <c r="H19" s="294"/>
      <c r="P19" s="77"/>
    </row>
    <row r="20" spans="2:16" x14ac:dyDescent="0.25">
      <c r="B20" s="76"/>
      <c r="C20" s="120"/>
      <c r="P20" s="77"/>
    </row>
    <row r="21" spans="2:16" x14ac:dyDescent="0.25">
      <c r="B21" s="76"/>
      <c r="C21" s="312" t="s">
        <v>77</v>
      </c>
      <c r="D21" s="312"/>
      <c r="E21" s="312"/>
      <c r="F21" s="312"/>
      <c r="G21" s="312"/>
      <c r="H21" s="141" t="s">
        <v>78</v>
      </c>
      <c r="I21" s="376" t="str">
        <f>IF(M6="Yes", "5 jobs per 1,000m²", "")</f>
        <v/>
      </c>
      <c r="J21" s="376"/>
      <c r="K21" s="376"/>
      <c r="L21" s="376"/>
      <c r="M21" s="376"/>
      <c r="N21" s="81"/>
      <c r="O21" s="81"/>
      <c r="P21" s="77"/>
    </row>
    <row r="22" spans="2:16" x14ac:dyDescent="0.25">
      <c r="B22" s="76"/>
      <c r="C22" s="299"/>
      <c r="D22" s="299"/>
      <c r="E22" s="299"/>
      <c r="F22" s="299"/>
      <c r="G22" s="299"/>
      <c r="H22" s="122" t="s">
        <v>78</v>
      </c>
      <c r="I22" s="299" t="str">
        <f>IF(M6="No","","("&amp;TEXT('Development Details'!G62,"#,##0")&amp;" / 1,000) × 5")</f>
        <v/>
      </c>
      <c r="J22" s="299"/>
      <c r="K22" s="299"/>
      <c r="L22" s="299"/>
      <c r="M22" s="299"/>
      <c r="P22" s="77"/>
    </row>
    <row r="23" spans="2:16" x14ac:dyDescent="0.25">
      <c r="B23" s="76"/>
      <c r="C23" s="346"/>
      <c r="D23" s="346"/>
      <c r="E23" s="346"/>
      <c r="F23" s="346"/>
      <c r="G23" s="346"/>
      <c r="H23" s="123" t="s">
        <v>78</v>
      </c>
      <c r="I23" s="365" t="str">
        <f>IF(M6="No","",('Development Details'!G62/1000)*5)</f>
        <v/>
      </c>
      <c r="J23" s="365"/>
      <c r="K23" s="365"/>
      <c r="L23" s="365"/>
      <c r="M23" s="365"/>
      <c r="P23" s="77"/>
    </row>
    <row r="24" spans="2:16" x14ac:dyDescent="0.25">
      <c r="B24" s="76"/>
      <c r="C24" s="120"/>
      <c r="P24" s="77"/>
    </row>
    <row r="25" spans="2:16" x14ac:dyDescent="0.25">
      <c r="B25" s="76"/>
      <c r="C25" s="120" t="s">
        <v>309</v>
      </c>
      <c r="P25" s="77"/>
    </row>
    <row r="26" spans="2:16" ht="12.5" customHeight="1" x14ac:dyDescent="0.25">
      <c r="B26" s="76"/>
      <c r="C26" s="247" t="s">
        <v>318</v>
      </c>
      <c r="D26" s="247"/>
      <c r="E26" s="247"/>
      <c r="F26" s="247"/>
      <c r="G26" s="247"/>
      <c r="H26" s="247"/>
      <c r="I26" s="247"/>
      <c r="J26" s="247"/>
      <c r="K26" s="247"/>
      <c r="L26" s="247"/>
      <c r="M26" s="247"/>
      <c r="P26" s="77"/>
    </row>
    <row r="27" spans="2:16" ht="12.5" customHeight="1" x14ac:dyDescent="0.25">
      <c r="B27" s="76"/>
      <c r="C27" s="247"/>
      <c r="D27" s="247"/>
      <c r="E27" s="247"/>
      <c r="F27" s="247"/>
      <c r="G27" s="247"/>
      <c r="H27" s="247"/>
      <c r="I27" s="247"/>
      <c r="J27" s="247"/>
      <c r="K27" s="247"/>
      <c r="L27" s="247"/>
      <c r="M27" s="247"/>
      <c r="P27" s="77"/>
    </row>
    <row r="28" spans="2:16" x14ac:dyDescent="0.25">
      <c r="B28" s="76"/>
      <c r="P28" s="77"/>
    </row>
    <row r="29" spans="2:16" ht="12.5" customHeight="1" x14ac:dyDescent="0.25">
      <c r="B29" s="76"/>
      <c r="C29" s="244" t="s">
        <v>79</v>
      </c>
      <c r="D29" s="378"/>
      <c r="E29" s="377" t="s">
        <v>310</v>
      </c>
      <c r="F29" s="377"/>
      <c r="G29" s="377"/>
      <c r="H29" s="377"/>
      <c r="I29" s="377"/>
      <c r="J29" s="377"/>
      <c r="K29" s="377"/>
      <c r="L29" s="377"/>
      <c r="M29" s="377"/>
      <c r="N29" s="377"/>
      <c r="O29" s="377"/>
      <c r="P29" s="77"/>
    </row>
    <row r="30" spans="2:16" x14ac:dyDescent="0.25">
      <c r="B30" s="76"/>
      <c r="C30" s="244"/>
      <c r="D30" s="378"/>
      <c r="E30" s="377"/>
      <c r="F30" s="377"/>
      <c r="G30" s="377"/>
      <c r="H30" s="377"/>
      <c r="I30" s="377"/>
      <c r="J30" s="377"/>
      <c r="K30" s="377"/>
      <c r="L30" s="377"/>
      <c r="M30" s="377"/>
      <c r="N30" s="377"/>
      <c r="O30" s="377"/>
      <c r="P30" s="77"/>
    </row>
    <row r="31" spans="2:16" x14ac:dyDescent="0.25">
      <c r="B31" s="76"/>
      <c r="C31" s="244"/>
      <c r="D31" s="378"/>
      <c r="E31" s="377"/>
      <c r="F31" s="377"/>
      <c r="G31" s="377"/>
      <c r="H31" s="377"/>
      <c r="I31" s="377"/>
      <c r="J31" s="377"/>
      <c r="K31" s="377"/>
      <c r="L31" s="377"/>
      <c r="M31" s="377"/>
      <c r="N31" s="377"/>
      <c r="O31" s="377"/>
      <c r="P31" s="77"/>
    </row>
    <row r="32" spans="2:16" x14ac:dyDescent="0.25">
      <c r="B32" s="76"/>
      <c r="P32" s="77"/>
    </row>
    <row r="33" spans="2:16" ht="13" customHeight="1" x14ac:dyDescent="0.25">
      <c r="B33" s="76"/>
      <c r="C33" s="312" t="s">
        <v>77</v>
      </c>
      <c r="D33" s="312"/>
      <c r="E33" s="312"/>
      <c r="F33" s="312"/>
      <c r="G33" s="312"/>
      <c r="H33" s="141" t="s">
        <v>78</v>
      </c>
      <c r="I33" s="373" t="str">
        <f>IF(M6="Yes", "employee yield × % of all jobs in Wandsworth taken by Wandsworth residents", "")</f>
        <v/>
      </c>
      <c r="J33" s="373"/>
      <c r="K33" s="373"/>
      <c r="L33" s="373"/>
      <c r="M33" s="373"/>
      <c r="N33" s="81"/>
      <c r="O33" s="81"/>
      <c r="P33" s="77"/>
    </row>
    <row r="34" spans="2:16" x14ac:dyDescent="0.25">
      <c r="B34" s="76"/>
      <c r="C34" s="149"/>
      <c r="D34" s="149"/>
      <c r="E34" s="149"/>
      <c r="F34" s="149"/>
      <c r="G34" s="149"/>
      <c r="H34" s="141"/>
      <c r="I34" s="373"/>
      <c r="J34" s="373"/>
      <c r="K34" s="373"/>
      <c r="L34" s="373"/>
      <c r="M34" s="373"/>
      <c r="N34" s="81"/>
      <c r="O34" s="81"/>
      <c r="P34" s="77"/>
    </row>
    <row r="35" spans="2:16" x14ac:dyDescent="0.25">
      <c r="B35" s="76"/>
      <c r="C35" s="299"/>
      <c r="D35" s="299"/>
      <c r="E35" s="299"/>
      <c r="F35" s="299"/>
      <c r="G35" s="299"/>
      <c r="H35" s="122" t="s">
        <v>78</v>
      </c>
      <c r="I35" s="299" t="str">
        <f>IF(M6="No","",TEXT(E!D29,"#,##0.0")&amp;" × 27%")</f>
        <v/>
      </c>
      <c r="J35" s="299"/>
      <c r="K35" s="299"/>
      <c r="L35" s="299"/>
      <c r="M35" s="299"/>
      <c r="P35" s="77"/>
    </row>
    <row r="36" spans="2:16" ht="13" customHeight="1" x14ac:dyDescent="0.25">
      <c r="B36" s="76"/>
      <c r="C36" s="346"/>
      <c r="D36" s="346"/>
      <c r="E36" s="346"/>
      <c r="F36" s="346"/>
      <c r="G36" s="346"/>
      <c r="H36" s="123" t="s">
        <v>78</v>
      </c>
      <c r="I36" s="365" t="str">
        <f>IF(M6="No","",E!D29*27/100)</f>
        <v/>
      </c>
      <c r="J36" s="365"/>
      <c r="K36" s="365"/>
      <c r="L36" s="365"/>
      <c r="M36" s="365"/>
      <c r="P36" s="77"/>
    </row>
    <row r="37" spans="2:16" ht="13" customHeight="1" x14ac:dyDescent="0.25">
      <c r="B37" s="76"/>
      <c r="P37" s="77"/>
    </row>
    <row r="38" spans="2:16" ht="13" customHeight="1" x14ac:dyDescent="0.25">
      <c r="B38" s="76"/>
      <c r="C38" s="102" t="s">
        <v>49</v>
      </c>
      <c r="P38" s="77"/>
    </row>
    <row r="39" spans="2:16" ht="13" customHeight="1" x14ac:dyDescent="0.25">
      <c r="B39" s="76"/>
      <c r="P39" s="77"/>
    </row>
    <row r="40" spans="2:16" ht="13" customHeight="1" x14ac:dyDescent="0.25">
      <c r="B40" s="76"/>
      <c r="C40" s="312" t="s">
        <v>77</v>
      </c>
      <c r="D40" s="312"/>
      <c r="E40" s="312"/>
      <c r="F40" s="312"/>
      <c r="G40" s="312"/>
      <c r="H40" s="141" t="s">
        <v>78</v>
      </c>
      <c r="I40" s="374" t="str">
        <f>IF(M6="Yes", "construction phase + end-use phase", "")</f>
        <v/>
      </c>
      <c r="J40" s="374"/>
      <c r="K40" s="374"/>
      <c r="L40" s="374"/>
      <c r="M40" s="374"/>
      <c r="P40" s="77"/>
    </row>
    <row r="41" spans="2:16" ht="13" customHeight="1" x14ac:dyDescent="0.25">
      <c r="B41" s="76"/>
      <c r="C41" s="299"/>
      <c r="D41" s="299"/>
      <c r="E41" s="299"/>
      <c r="F41" s="299"/>
      <c r="G41" s="299"/>
      <c r="H41" s="122" t="s">
        <v>78</v>
      </c>
      <c r="I41" s="299" t="str">
        <f>IF(M6="No","",TEXT(I23,"#,##0.0")&amp;" + "&amp;TEXT(I36,"#,##0.0"))</f>
        <v/>
      </c>
      <c r="J41" s="299"/>
      <c r="K41" s="299"/>
      <c r="L41" s="299"/>
      <c r="M41" s="299"/>
      <c r="P41" s="77"/>
    </row>
    <row r="42" spans="2:16" ht="13" customHeight="1" x14ac:dyDescent="0.25">
      <c r="B42" s="76"/>
      <c r="C42" s="346"/>
      <c r="D42" s="346"/>
      <c r="E42" s="346"/>
      <c r="F42" s="346"/>
      <c r="G42" s="346"/>
      <c r="H42" s="123" t="s">
        <v>78</v>
      </c>
      <c r="I42" s="365" t="str">
        <f>IF(M6="No","",I23+I36)</f>
        <v/>
      </c>
      <c r="J42" s="365"/>
      <c r="K42" s="365"/>
      <c r="L42" s="365"/>
      <c r="M42" s="365"/>
      <c r="P42" s="77"/>
    </row>
    <row r="43" spans="2:16" x14ac:dyDescent="0.25">
      <c r="B43" s="76"/>
      <c r="C43" s="85"/>
      <c r="P43" s="77"/>
    </row>
    <row r="44" spans="2:16" x14ac:dyDescent="0.25">
      <c r="B44" s="73"/>
      <c r="D44" s="74"/>
      <c r="E44" s="74"/>
      <c r="F44" s="74"/>
      <c r="G44" s="74"/>
      <c r="H44" s="74"/>
      <c r="I44" s="74"/>
      <c r="J44" s="74"/>
      <c r="K44" s="74"/>
      <c r="L44" s="74"/>
      <c r="M44" s="74"/>
      <c r="N44" s="74"/>
      <c r="O44" s="74"/>
      <c r="P44" s="75"/>
    </row>
    <row r="45" spans="2:16" ht="15" x14ac:dyDescent="0.3">
      <c r="B45" s="76"/>
      <c r="C45" s="186" t="s">
        <v>311</v>
      </c>
      <c r="P45" s="77"/>
    </row>
    <row r="46" spans="2:16" ht="15" x14ac:dyDescent="0.3">
      <c r="B46" s="76"/>
      <c r="C46" s="186" t="s">
        <v>80</v>
      </c>
      <c r="P46" s="77"/>
    </row>
    <row r="47" spans="2:16" ht="13" thickBot="1" x14ac:dyDescent="0.3">
      <c r="B47" s="76"/>
      <c r="P47" s="77"/>
    </row>
    <row r="48" spans="2:16" ht="13" customHeight="1" x14ac:dyDescent="0.25">
      <c r="B48" s="76"/>
      <c r="C48" s="69" t="s">
        <v>11</v>
      </c>
      <c r="D48" s="272" t="s">
        <v>81</v>
      </c>
      <c r="E48" s="272"/>
      <c r="F48" s="272"/>
      <c r="G48" s="272"/>
      <c r="H48" s="272"/>
      <c r="I48" s="272"/>
      <c r="J48" s="272"/>
      <c r="K48" s="272"/>
      <c r="L48" s="272"/>
      <c r="M48" s="187" t="str">
        <f>IF(M6="No","",I42)</f>
        <v/>
      </c>
      <c r="N48" s="375" t="s">
        <v>82</v>
      </c>
      <c r="O48" s="375"/>
      <c r="P48" s="77"/>
    </row>
    <row r="49" spans="2:16" x14ac:dyDescent="0.25">
      <c r="B49" s="76"/>
      <c r="C49" s="137" t="s">
        <v>12</v>
      </c>
      <c r="D49" s="277" t="s">
        <v>83</v>
      </c>
      <c r="E49" s="277"/>
      <c r="F49" s="277"/>
      <c r="G49" s="277"/>
      <c r="H49" s="277"/>
      <c r="I49" s="277"/>
      <c r="J49" s="277"/>
      <c r="K49" s="277"/>
      <c r="L49" s="277"/>
      <c r="M49" s="188" t="str">
        <f>IF(M6="No","",5026)</f>
        <v/>
      </c>
      <c r="N49" s="103"/>
      <c r="P49" s="77"/>
    </row>
    <row r="50" spans="2:16" ht="13" thickBot="1" x14ac:dyDescent="0.3">
      <c r="B50" s="76"/>
      <c r="C50" s="138" t="s">
        <v>13</v>
      </c>
      <c r="D50" s="348" t="s">
        <v>84</v>
      </c>
      <c r="E50" s="348"/>
      <c r="F50" s="348"/>
      <c r="G50" s="348"/>
      <c r="H50" s="348"/>
      <c r="I50" s="348"/>
      <c r="J50" s="348"/>
      <c r="K50" s="348"/>
      <c r="L50" s="348"/>
      <c r="M50" s="189" t="str">
        <f>IF(M6="No","",25%)</f>
        <v/>
      </c>
      <c r="N50" s="103"/>
      <c r="P50" s="77"/>
    </row>
    <row r="51" spans="2:16" x14ac:dyDescent="0.25">
      <c r="B51" s="76"/>
      <c r="P51" s="77"/>
    </row>
    <row r="52" spans="2:16" ht="13" customHeight="1" x14ac:dyDescent="0.25">
      <c r="B52" s="76"/>
      <c r="C52" s="349" t="s">
        <v>85</v>
      </c>
      <c r="D52" s="349"/>
      <c r="E52" s="349"/>
      <c r="F52" s="349"/>
      <c r="G52" s="349"/>
      <c r="H52" s="142" t="s">
        <v>78</v>
      </c>
      <c r="I52" s="360" t="str">
        <f>IF(M6="Yes", "A × B × C", "")</f>
        <v/>
      </c>
      <c r="J52" s="360"/>
      <c r="K52" s="360"/>
      <c r="L52" s="360"/>
      <c r="M52" s="360"/>
      <c r="P52" s="77"/>
    </row>
    <row r="53" spans="2:16" ht="13" customHeight="1" x14ac:dyDescent="0.25">
      <c r="B53" s="76"/>
      <c r="C53" s="302"/>
      <c r="D53" s="302"/>
      <c r="E53" s="302"/>
      <c r="F53" s="302"/>
      <c r="G53" s="302"/>
      <c r="H53" s="144" t="s">
        <v>78</v>
      </c>
      <c r="I53" s="298" t="str">
        <f>IF(M6="No","",(TEXT(M48,"#,##0.0")&amp;" × "&amp;TEXT(M49,"£#,##0")&amp;" × "&amp;TEXT(M50,"0%")))</f>
        <v/>
      </c>
      <c r="J53" s="298"/>
      <c r="K53" s="298"/>
      <c r="L53" s="298"/>
      <c r="M53" s="298"/>
      <c r="P53" s="77"/>
    </row>
    <row r="54" spans="2:16" x14ac:dyDescent="0.25">
      <c r="B54" s="76"/>
      <c r="C54" s="350"/>
      <c r="D54" s="350"/>
      <c r="E54" s="350"/>
      <c r="F54" s="350"/>
      <c r="G54" s="350"/>
      <c r="H54" s="145" t="s">
        <v>78</v>
      </c>
      <c r="I54" s="350" t="str">
        <f>IF(M6="No","",M48*M49*M50)</f>
        <v/>
      </c>
      <c r="J54" s="350"/>
      <c r="K54" s="350"/>
      <c r="L54" s="350"/>
      <c r="M54" s="350"/>
      <c r="P54" s="77"/>
    </row>
    <row r="55" spans="2:16" x14ac:dyDescent="0.25">
      <c r="B55" s="84"/>
      <c r="C55" s="85"/>
      <c r="D55" s="85"/>
      <c r="E55" s="85"/>
      <c r="F55" s="85"/>
      <c r="G55" s="85"/>
      <c r="H55" s="85"/>
      <c r="I55" s="85"/>
      <c r="J55" s="85"/>
      <c r="K55" s="85"/>
      <c r="L55" s="85"/>
      <c r="M55" s="85"/>
      <c r="N55" s="85"/>
      <c r="O55" s="85"/>
      <c r="P55" s="86"/>
    </row>
    <row r="56" spans="2:16" x14ac:dyDescent="0.25">
      <c r="B56" s="76"/>
      <c r="P56" s="77"/>
    </row>
    <row r="57" spans="2:16" ht="15" x14ac:dyDescent="0.3">
      <c r="B57" s="76"/>
      <c r="C57" s="186" t="s">
        <v>314</v>
      </c>
      <c r="P57" s="77"/>
    </row>
    <row r="58" spans="2:16" ht="15" x14ac:dyDescent="0.3">
      <c r="B58" s="76"/>
      <c r="C58" s="186" t="s">
        <v>315</v>
      </c>
      <c r="P58" s="77"/>
    </row>
    <row r="59" spans="2:16" ht="15" x14ac:dyDescent="0.3">
      <c r="B59" s="76"/>
      <c r="C59" s="186"/>
      <c r="P59" s="77"/>
    </row>
    <row r="60" spans="2:16" ht="12.5" customHeight="1" x14ac:dyDescent="0.25">
      <c r="B60" s="76"/>
      <c r="C60" s="107" t="s">
        <v>316</v>
      </c>
      <c r="D60" s="163"/>
      <c r="F60" s="128" t="s">
        <v>317</v>
      </c>
      <c r="G60" s="128"/>
      <c r="H60" s="128"/>
      <c r="I60" s="128"/>
      <c r="J60" s="128"/>
      <c r="K60" s="128"/>
      <c r="L60" s="128"/>
      <c r="M60" s="128"/>
      <c r="N60" s="128"/>
      <c r="O60" s="128"/>
      <c r="P60" s="77"/>
    </row>
    <row r="61" spans="2:16" x14ac:dyDescent="0.25">
      <c r="B61" s="76"/>
      <c r="P61" s="77"/>
    </row>
    <row r="62" spans="2:16" ht="12.5" customHeight="1" x14ac:dyDescent="0.25">
      <c r="B62" s="76"/>
      <c r="C62" s="349" t="s">
        <v>85</v>
      </c>
      <c r="D62" s="349"/>
      <c r="E62" s="349"/>
      <c r="F62" s="143"/>
      <c r="G62" s="143"/>
      <c r="H62" s="371" t="s">
        <v>78</v>
      </c>
      <c r="I62" s="370" t="str">
        <f>IF(M10="Yes",
    IF(D60="", "Inputs still required", "Jobs yield x Average cost of placing Wandsworth residents in jobs, training places and apprenticeships"),
    "")</f>
        <v/>
      </c>
      <c r="J62" s="370"/>
      <c r="K62" s="370"/>
      <c r="L62" s="370"/>
      <c r="M62" s="370"/>
      <c r="P62" s="77"/>
    </row>
    <row r="63" spans="2:16" ht="12.5" customHeight="1" x14ac:dyDescent="0.25">
      <c r="B63" s="76"/>
      <c r="C63" s="349"/>
      <c r="D63" s="349"/>
      <c r="E63" s="349"/>
      <c r="F63" s="143"/>
      <c r="G63" s="143"/>
      <c r="H63" s="371"/>
      <c r="I63" s="370"/>
      <c r="J63" s="370"/>
      <c r="K63" s="370"/>
      <c r="L63" s="370"/>
      <c r="M63" s="370"/>
      <c r="P63" s="77"/>
    </row>
    <row r="64" spans="2:16" ht="12.5" customHeight="1" x14ac:dyDescent="0.25">
      <c r="B64" s="76"/>
      <c r="C64" s="143"/>
      <c r="D64" s="143"/>
      <c r="E64" s="143"/>
      <c r="F64" s="143"/>
      <c r="G64" s="143"/>
      <c r="H64" s="144" t="s">
        <v>78</v>
      </c>
      <c r="I64" s="298" t="str">
        <f>IF(M10="Yes",
    IF(D60="", "Inputs still required", "Jobs yield x £5,026"),
    "")</f>
        <v/>
      </c>
      <c r="J64" s="298"/>
      <c r="K64" s="298"/>
      <c r="L64" s="298"/>
      <c r="M64" s="298"/>
      <c r="P64" s="77"/>
    </row>
    <row r="65" spans="2:16" x14ac:dyDescent="0.25">
      <c r="B65" s="76"/>
      <c r="C65" s="140"/>
      <c r="D65" s="140"/>
      <c r="E65" s="140"/>
      <c r="F65" s="140"/>
      <c r="G65" s="140"/>
      <c r="H65" s="145" t="s">
        <v>78</v>
      </c>
      <c r="I65" s="350" t="str">
        <f>IF(M10="Yes",IF(D60="", "Inputs still required", D60*5026),"")</f>
        <v/>
      </c>
      <c r="J65" s="350"/>
      <c r="K65" s="350"/>
      <c r="L65" s="350"/>
      <c r="M65" s="350"/>
      <c r="P65" s="77"/>
    </row>
    <row r="66" spans="2:16" ht="12.5" customHeight="1" x14ac:dyDescent="0.25">
      <c r="B66" s="84"/>
      <c r="C66" s="85"/>
      <c r="D66" s="85"/>
      <c r="E66" s="85"/>
      <c r="F66" s="85"/>
      <c r="G66" s="85"/>
      <c r="H66" s="85"/>
      <c r="I66" s="85"/>
      <c r="J66" s="85"/>
      <c r="K66" s="85"/>
      <c r="L66" s="85"/>
      <c r="M66" s="85"/>
      <c r="N66" s="85"/>
      <c r="O66" s="85"/>
      <c r="P66" s="86"/>
    </row>
    <row r="68" spans="2:16" x14ac:dyDescent="0.25">
      <c r="C68" s="185" t="s">
        <v>312</v>
      </c>
    </row>
    <row r="76" spans="2:16" x14ac:dyDescent="0.25">
      <c r="C76" s="146"/>
    </row>
  </sheetData>
  <sheetProtection selectLockedCells="1"/>
  <mergeCells count="42">
    <mergeCell ref="N48:O48"/>
    <mergeCell ref="C21:G21"/>
    <mergeCell ref="C22:G22"/>
    <mergeCell ref="C23:G23"/>
    <mergeCell ref="I21:M21"/>
    <mergeCell ref="I22:M22"/>
    <mergeCell ref="I23:M23"/>
    <mergeCell ref="E29:O31"/>
    <mergeCell ref="D29:D31"/>
    <mergeCell ref="C29:C31"/>
    <mergeCell ref="C33:G33"/>
    <mergeCell ref="C35:G35"/>
    <mergeCell ref="I35:M35"/>
    <mergeCell ref="C36:G36"/>
    <mergeCell ref="I36:M36"/>
    <mergeCell ref="I65:M65"/>
    <mergeCell ref="C6:L7"/>
    <mergeCell ref="C10:L11"/>
    <mergeCell ref="D12:M13"/>
    <mergeCell ref="C12:C13"/>
    <mergeCell ref="G19:H19"/>
    <mergeCell ref="D48:L48"/>
    <mergeCell ref="D49:L49"/>
    <mergeCell ref="D50:L50"/>
    <mergeCell ref="I33:M34"/>
    <mergeCell ref="C40:G40"/>
    <mergeCell ref="I40:M40"/>
    <mergeCell ref="C41:G41"/>
    <mergeCell ref="I41:M41"/>
    <mergeCell ref="C42:G42"/>
    <mergeCell ref="I42:M42"/>
    <mergeCell ref="I62:M63"/>
    <mergeCell ref="I64:M64"/>
    <mergeCell ref="I53:M53"/>
    <mergeCell ref="H62:H63"/>
    <mergeCell ref="C62:E63"/>
    <mergeCell ref="I54:M54"/>
    <mergeCell ref="I52:M52"/>
    <mergeCell ref="C26:M27"/>
    <mergeCell ref="C52:G52"/>
    <mergeCell ref="C53:G53"/>
    <mergeCell ref="C54:G54"/>
  </mergeCells>
  <conditionalFormatting sqref="C54 H54:I54">
    <cfRule type="expression" priority="56" stopIfTrue="1">
      <formula>$M$6="No"</formula>
    </cfRule>
  </conditionalFormatting>
  <conditionalFormatting sqref="C54:I54">
    <cfRule type="expression" dxfId="12" priority="57">
      <formula>$M$6="Yes"</formula>
    </cfRule>
  </conditionalFormatting>
  <conditionalFormatting sqref="C65:I65">
    <cfRule type="expression" dxfId="11" priority="4">
      <formula>$M$10="Yes"</formula>
    </cfRule>
  </conditionalFormatting>
  <conditionalFormatting sqref="C23:M23">
    <cfRule type="expression" dxfId="10" priority="1">
      <formula>$M$6="Yes"</formula>
    </cfRule>
  </conditionalFormatting>
  <conditionalFormatting sqref="C36:M36">
    <cfRule type="expression" dxfId="9" priority="10">
      <formula>$D$29&gt;0</formula>
    </cfRule>
  </conditionalFormatting>
  <conditionalFormatting sqref="C42:M42">
    <cfRule type="expression" dxfId="8" priority="47">
      <formula>$M$6="Yes"</formula>
    </cfRule>
  </conditionalFormatting>
  <conditionalFormatting sqref="M6">
    <cfRule type="expression" dxfId="7" priority="30">
      <formula>$M$6="Yes"</formula>
    </cfRule>
  </conditionalFormatting>
  <conditionalFormatting sqref="M10">
    <cfRule type="expression" dxfId="6" priority="5">
      <formula>$M$10="No"</formula>
    </cfRule>
    <cfRule type="expression" dxfId="5" priority="6" stopIfTrue="1">
      <formula>$M$10="Yes"</formula>
    </cfRule>
  </conditionalFormatting>
  <dataValidations count="1">
    <dataValidation type="decimal" operator="greaterThanOrEqual" showInputMessage="1" showErrorMessage="1" error="Employee yield must be a number greater than or equal to 0" sqref="D29 D60" xr:uid="{C61840D0-68EE-4027-B4C8-6DB9FA755EA8}">
      <formula1>0</formula1>
    </dataValidation>
  </dataValidations>
  <pageMargins left="0.39370078740157483" right="0.39370078740157483" top="0.39370078740157483" bottom="0.39370078740157483" header="0.19685039370078741" footer="0.19685039370078741"/>
  <pageSetup paperSize="9" orientation="landscape" r:id="rId1"/>
  <headerFooter>
    <oddHeader>&amp;L&amp;"Calibri"&amp;10&amp;K000000Official&amp;1#_x000D_&amp;"Calibri"&amp;11&amp;K000000&amp;9&amp;F</oddHeader>
    <oddFooter>&amp;R&amp;9Page &amp;P of &amp;N</oddFooter>
  </headerFooter>
  <rowBreaks count="1" manualBreakCount="1">
    <brk id="43" min="1" max="15"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02A16C151AA8DC4991ED30E629001D89" ma:contentTypeVersion="956" ma:contentTypeDescription="Create a new document." ma:contentTypeScope="" ma:versionID="677a3ff494361ca72f477310a89830a4">
  <xsd:schema xmlns:xsd="http://www.w3.org/2001/XMLSchema" xmlns:xs="http://www.w3.org/2001/XMLSchema" xmlns:p="http://schemas.microsoft.com/office/2006/metadata/properties" xmlns:ns1="http://schemas.microsoft.com/sharepoint/v3" xmlns:ns2="dd432206-5341-4a9e-8bc1-0dd52a14e581" xmlns:ns3="7be4f7ab-f764-4276-a5ed-ac707042befe" targetNamespace="http://schemas.microsoft.com/office/2006/metadata/properties" ma:root="true" ma:fieldsID="be368b53f85e05f20dba1f2570570d92" ns1:_="" ns2:_="" ns3:_="">
    <xsd:import namespace="http://schemas.microsoft.com/sharepoint/v3"/>
    <xsd:import namespace="dd432206-5341-4a9e-8bc1-0dd52a14e581"/>
    <xsd:import namespace="7be4f7ab-f764-4276-a5ed-ac707042befe"/>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DateTaken" minOccurs="0"/>
                <xsd:element ref="ns2:MediaServiceLocation" minOccurs="0"/>
                <xsd:element ref="ns3:SharedWithUsers" minOccurs="0"/>
                <xsd:element ref="ns3:SharedWithDetails" minOccurs="0"/>
                <xsd:element ref="ns2:MediaServiceAutoKeyPoints" minOccurs="0"/>
                <xsd:element ref="ns2:MediaServiceKeyPoints" minOccurs="0"/>
                <xsd:element ref="ns2:MediaServiceGenerationTime" minOccurs="0"/>
                <xsd:element ref="ns2:MediaServiceEventHashCode" minOccurs="0"/>
                <xsd:element ref="ns1:_ip_UnifiedCompliancePolicyProperties" minOccurs="0"/>
                <xsd:element ref="ns1:_ip_UnifiedCompliancePolicyUIAction" minOccurs="0"/>
                <xsd:element ref="ns3:_dlc_DocId" minOccurs="0"/>
                <xsd:element ref="ns3:_dlc_DocIdUrl" minOccurs="0"/>
                <xsd:element ref="ns3:_dlc_DocIdPersistId" minOccurs="0"/>
                <xsd:element ref="ns2:Date" minOccurs="0"/>
                <xsd:element ref="ns2:Date_" minOccurs="0"/>
                <xsd:element ref="ns2:lcf76f155ced4ddcb4097134ff3c332f" minOccurs="0"/>
                <xsd:element ref="ns3:TaxCatchAll" minOccurs="0"/>
                <xsd:element ref="ns2:Location"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0" nillable="true" ma:displayName="Unified Compliance Policy Properties" ma:hidden="true" ma:internalName="_ip_UnifiedCompliancePolicyProperties">
      <xsd:simpleType>
        <xsd:restriction base="dms:Note"/>
      </xsd:simpleType>
    </xsd:element>
    <xsd:element name="_ip_UnifiedCompliancePolicyUIAction" ma:index="21"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d432206-5341-4a9e-8bc1-0dd52a14e58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Location" ma:index="13" nillable="true" ma:displayName="Location" ma:internalName="MediaServiceLocation"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Date" ma:index="25" nillable="true" ma:displayName="Date" ma:format="DateOnly" ma:internalName="Date">
      <xsd:simpleType>
        <xsd:restriction base="dms:DateTime"/>
      </xsd:simpleType>
    </xsd:element>
    <xsd:element name="Date_" ma:index="26" nillable="true" ma:displayName="Date_" ma:format="DateOnly" ma:internalName="Date_">
      <xsd:simpleType>
        <xsd:restriction base="dms:DateTime"/>
      </xsd:simpleType>
    </xsd:element>
    <xsd:element name="lcf76f155ced4ddcb4097134ff3c332f" ma:index="28" nillable="true" ma:taxonomy="true" ma:internalName="lcf76f155ced4ddcb4097134ff3c332f" ma:taxonomyFieldName="MediaServiceImageTags" ma:displayName="Image Tags" ma:readOnly="false" ma:fieldId="{5cf76f15-5ced-4ddc-b409-7134ff3c332f}" ma:taxonomyMulti="true" ma:sspId="8084b5b8-5c41-402a-93b7-1e2a455a0556" ma:termSetId="09814cd3-568e-fe90-9814-8d621ff8fb84" ma:anchorId="fba54fb3-c3e1-fe81-a776-ca4b69148c4d" ma:open="true" ma:isKeyword="false">
      <xsd:complexType>
        <xsd:sequence>
          <xsd:element ref="pc:Terms" minOccurs="0" maxOccurs="1"/>
        </xsd:sequence>
      </xsd:complexType>
    </xsd:element>
    <xsd:element name="Location" ma:index="30" nillable="true" ma:displayName="Location " ma:description="garages R/O 8 Atbara Road Teddington" ma:format="Dropdown" ma:internalName="Location">
      <xsd:simpleType>
        <xsd:restriction base="dms:Note">
          <xsd:maxLength value="255"/>
        </xsd:restriction>
      </xsd:simpleType>
    </xsd:element>
    <xsd:element name="MediaServiceSearchProperties" ma:index="31" nillable="true" ma:displayName="MediaServiceSearchProperties" ma:hidden="true" ma:internalName="MediaServiceSearchProperties" ma:readOnly="true">
      <xsd:simpleType>
        <xsd:restriction base="dms:Note"/>
      </xsd:simpleType>
    </xsd:element>
    <xsd:element name="MediaServiceObjectDetectorVersions" ma:index="32" nillable="true" ma:displayName="MediaServiceObjectDetectorVersions" ma:description=""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be4f7ab-f764-4276-a5ed-ac707042befe"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_dlc_DocId" ma:index="22" nillable="true" ma:displayName="Document ID Value" ma:description="The value of the document ID assigned to this item." ma:internalName="_dlc_DocId" ma:readOnly="true">
      <xsd:simpleType>
        <xsd:restriction base="dms:Text"/>
      </xsd:simpleType>
    </xsd:element>
    <xsd:element name="_dlc_DocIdUrl" ma:index="23"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4" nillable="true" ma:displayName="Persist ID" ma:description="Keep ID on add." ma:hidden="true" ma:internalName="_dlc_DocIdPersistId" ma:readOnly="true">
      <xsd:simpleType>
        <xsd:restriction base="dms:Boolean"/>
      </xsd:simpleType>
    </xsd:element>
    <xsd:element name="TaxCatchAll" ma:index="29" nillable="true" ma:displayName="Taxonomy Catch All Column" ma:hidden="true" ma:list="{07fed481-6ca6-4bd4-b57e-4b60ca012fca}" ma:internalName="TaxCatchAll" ma:showField="CatchAllData" ma:web="7be4f7ab-f764-4276-a5ed-ac707042bef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_dlc_DocId xmlns="7be4f7ab-f764-4276-a5ed-ac707042befe">ECSSTPIPO-485950255-107586</_dlc_DocId>
    <_dlc_DocIdUrl xmlns="7be4f7ab-f764-4276-a5ed-ac707042befe">
      <Url>https://richmondandwandsworth.sharepoint.com/sites/InfoPlanObs/_layouts/15/DocIdRedir.aspx?ID=ECSSTPIPO-485950255-107586</Url>
      <Description>ECSSTPIPO-485950255-107586</Description>
    </_dlc_DocIdUrl>
    <Date_ xmlns="dd432206-5341-4a9e-8bc1-0dd52a14e581" xsi:nil="true"/>
    <Date xmlns="dd432206-5341-4a9e-8bc1-0dd52a14e581" xsi:nil="true"/>
    <lcf76f155ced4ddcb4097134ff3c332f xmlns="dd432206-5341-4a9e-8bc1-0dd52a14e581">
      <Terms xmlns="http://schemas.microsoft.com/office/infopath/2007/PartnerControls"/>
    </lcf76f155ced4ddcb4097134ff3c332f>
    <TaxCatchAll xmlns="7be4f7ab-f764-4276-a5ed-ac707042befe" xsi:nil="true"/>
    <Location xmlns="dd432206-5341-4a9e-8bc1-0dd52a14e581" xsi:nil="true"/>
  </documentManagement>
</p:properti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A925E587-5002-4BEB-BCCE-ECE41012D4F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dd432206-5341-4a9e-8bc1-0dd52a14e581"/>
    <ds:schemaRef ds:uri="7be4f7ab-f764-4276-a5ed-ac707042bef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89C6988-39D7-4AE6-9012-F875E6909A79}">
  <ds:schemaRefs>
    <ds:schemaRef ds:uri="http://schemas.microsoft.com/sharepoint/v3/contenttype/forms"/>
  </ds:schemaRefs>
</ds:datastoreItem>
</file>

<file path=customXml/itemProps3.xml><?xml version="1.0" encoding="utf-8"?>
<ds:datastoreItem xmlns:ds="http://schemas.openxmlformats.org/officeDocument/2006/customXml" ds:itemID="{7E3F7896-02FB-4D33-8ABF-A1DF610F8C10}">
  <ds:schemaRefs>
    <ds:schemaRef ds:uri="dd432206-5341-4a9e-8bc1-0dd52a14e581"/>
    <ds:schemaRef ds:uri="http://purl.org/dc/terms/"/>
    <ds:schemaRef ds:uri="http://schemas.microsoft.com/office/2006/documentManagement/types"/>
    <ds:schemaRef ds:uri="http://schemas.microsoft.com/office/infopath/2007/PartnerControls"/>
    <ds:schemaRef ds:uri="http://schemas.openxmlformats.org/package/2006/metadata/core-properties"/>
    <ds:schemaRef ds:uri="7be4f7ab-f764-4276-a5ed-ac707042befe"/>
    <ds:schemaRef ds:uri="http://purl.org/dc/dcmitype/"/>
    <ds:schemaRef ds:uri="http://schemas.microsoft.com/sharepoint/v3"/>
    <ds:schemaRef ds:uri="http://schemas.microsoft.com/office/2006/metadata/properties"/>
    <ds:schemaRef ds:uri="http://www.w3.org/XML/1998/namespace"/>
    <ds:schemaRef ds:uri="http://purl.org/dc/elements/1.1/"/>
  </ds:schemaRefs>
</ds:datastoreItem>
</file>

<file path=customXml/itemProps4.xml><?xml version="1.0" encoding="utf-8"?>
<ds:datastoreItem xmlns:ds="http://schemas.openxmlformats.org/officeDocument/2006/customXml" ds:itemID="{B0706E04-219D-44AB-A89F-3CFD918881E4}">
  <ds:schemaRefs>
    <ds:schemaRef ds:uri="http://schemas.microsoft.com/sharepoint/events"/>
  </ds:schemaRefs>
</ds:datastoreItem>
</file>

<file path=docMetadata/LabelInfo.xml><?xml version="1.0" encoding="utf-8"?>
<clbl:labelList xmlns:clbl="http://schemas.microsoft.com/office/2020/mipLabelMetadata">
  <clbl:label id="{763da656-5c75-4f6d-9461-4a3ce9a537cc}" enabled="1" method="Standard" siteId="{d9d3f5ac-f803-49be-949f-14a7074d74a7}"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19</vt:i4>
      </vt:variant>
    </vt:vector>
  </HeadingPairs>
  <TitlesOfParts>
    <vt:vector size="38" baseType="lpstr">
      <vt:lpstr>Instructions</vt:lpstr>
      <vt:lpstr>Contents</vt:lpstr>
      <vt:lpstr>Application Details</vt:lpstr>
      <vt:lpstr>Development Details</vt:lpstr>
      <vt:lpstr>A</vt:lpstr>
      <vt:lpstr>B</vt:lpstr>
      <vt:lpstr>C</vt:lpstr>
      <vt:lpstr>D</vt:lpstr>
      <vt:lpstr>E</vt:lpstr>
      <vt:lpstr>Requirements Summary</vt:lpstr>
      <vt:lpstr>Lookup workspace contribution</vt:lpstr>
      <vt:lpstr>Lookup Development Size</vt:lpstr>
      <vt:lpstr>Lookup Predominant Use</vt:lpstr>
      <vt:lpstr>Lookup Yes and No</vt:lpstr>
      <vt:lpstr>Population Development Matrix</vt:lpstr>
      <vt:lpstr>Population Yield</vt:lpstr>
      <vt:lpstr>Population 2004 Yield</vt:lpstr>
      <vt:lpstr>Population 2007 Yield</vt:lpstr>
      <vt:lpstr>Standard Messages</vt:lpstr>
      <vt:lpstr>Inputs_still_required</vt:lpstr>
      <vt:lpstr>No_requirement</vt:lpstr>
      <vt:lpstr>No_requirement_in_document</vt:lpstr>
      <vt:lpstr>Not_included_in_calculator</vt:lpstr>
      <vt:lpstr>Not_included_in_summary</vt:lpstr>
      <vt:lpstr>A!Print_Area</vt:lpstr>
      <vt:lpstr>'Application Details'!Print_Area</vt:lpstr>
      <vt:lpstr>B!Print_Area</vt:lpstr>
      <vt:lpstr>'C'!Print_Area</vt:lpstr>
      <vt:lpstr>Contents!Print_Area</vt:lpstr>
      <vt:lpstr>D!Print_Area</vt:lpstr>
      <vt:lpstr>'Development Details'!Print_Area</vt:lpstr>
      <vt:lpstr>E!Print_Area</vt:lpstr>
      <vt:lpstr>Instructions!Print_Area</vt:lpstr>
      <vt:lpstr>'Population Development Matrix'!Print_Area</vt:lpstr>
      <vt:lpstr>'Population Yield'!Print_Area</vt:lpstr>
      <vt:lpstr>'Requirements Summary'!Print_Area</vt:lpstr>
      <vt:lpstr>Contents!Print_Titles</vt:lpstr>
      <vt:lpstr>'Requirements Summary'!Print_Titles</vt:lpstr>
    </vt:vector>
  </TitlesOfParts>
  <Manager/>
  <Company>Wandsworth Council</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Chris Williams</dc:creator>
  <cp:keywords/>
  <dc:description/>
  <cp:lastModifiedBy>Deivi Norberg</cp:lastModifiedBy>
  <cp:revision/>
  <dcterms:created xsi:type="dcterms:W3CDTF">2018-08-30T09:53:52Z</dcterms:created>
  <dcterms:modified xsi:type="dcterms:W3CDTF">2025-12-03T15:28:02Z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0x01010002A16C151AA8DC4991ED30E629001D89</vt:lpwstr>
  </property>
  <property fmtid="{D5CDD505-2E9C-101B-9397-08002B2CF9AE}" pid="3" name="Order">
    <vt:r8>100</vt:r8>
  </property>
  <property fmtid="{D5CDD505-2E9C-101B-9397-08002B2CF9AE}" pid="4" name="_dlc_DocIdItemGuid">
    <vt:lpwstr>a00692f5-ae68-41ce-ae46-d18604c74227</vt:lpwstr>
  </property>
  <property fmtid="{D5CDD505-2E9C-101B-9397-08002B2CF9AE}" pid="5" name="MSIP_Label_763da656-5c75-4f6d-9461-4a3ce9a537cc_Enabled">
    <vt:lpwstr>true</vt:lpwstr>
  </property>
  <property fmtid="{D5CDD505-2E9C-101B-9397-08002B2CF9AE}" pid="6" name="MSIP_Label_763da656-5c75-4f6d-9461-4a3ce9a537cc_SetDate">
    <vt:lpwstr>2021-04-09T10:35:44Z</vt:lpwstr>
  </property>
  <property fmtid="{D5CDD505-2E9C-101B-9397-08002B2CF9AE}" pid="7" name="MSIP_Label_763da656-5c75-4f6d-9461-4a3ce9a537cc_Method">
    <vt:lpwstr>Standard</vt:lpwstr>
  </property>
  <property fmtid="{D5CDD505-2E9C-101B-9397-08002B2CF9AE}" pid="8" name="MSIP_Label_763da656-5c75-4f6d-9461-4a3ce9a537cc_Name">
    <vt:lpwstr>763da656-5c75-4f6d-9461-4a3ce9a537cc</vt:lpwstr>
  </property>
  <property fmtid="{D5CDD505-2E9C-101B-9397-08002B2CF9AE}" pid="9" name="MSIP_Label_763da656-5c75-4f6d-9461-4a3ce9a537cc_SiteId">
    <vt:lpwstr>d9d3f5ac-f803-49be-949f-14a7074d74a7</vt:lpwstr>
  </property>
  <property fmtid="{D5CDD505-2E9C-101B-9397-08002B2CF9AE}" pid="10" name="MSIP_Label_763da656-5c75-4f6d-9461-4a3ce9a537cc_ActionId">
    <vt:lpwstr>7aea3ab4-73e7-4211-b3a5-8662ee8eaede</vt:lpwstr>
  </property>
  <property fmtid="{D5CDD505-2E9C-101B-9397-08002B2CF9AE}" pid="11" name="MSIP_Label_763da656-5c75-4f6d-9461-4a3ce9a537cc_ContentBits">
    <vt:lpwstr>1</vt:lpwstr>
  </property>
  <property fmtid="{D5CDD505-2E9C-101B-9397-08002B2CF9AE}" pid="12" name="MediaServiceImageTags">
    <vt:lpwstr/>
  </property>
</Properties>
</file>