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richmondandwandsworth.sharepoint.com/sites/StrategyandDevelopment/Policy and Performance/Performance &amp; Statistics/_Statistics/Social Housing Asset Value and Transparency Code/2023/"/>
    </mc:Choice>
  </mc:AlternateContent>
  <xr:revisionPtr revIDLastSave="0" documentId="8_{3B167756-E349-4B6A-8BCC-9D0871D75779}" xr6:coauthVersionLast="47" xr6:coauthVersionMax="47" xr10:uidLastSave="{00000000-0000-0000-0000-000000000000}"/>
  <bookViews>
    <workbookView xWindow="-120" yWindow="-120" windowWidth="29040" windowHeight="15840" xr2:uid="{C88B481E-6A7D-4B56-8EDE-9066527E9C72}"/>
  </bookViews>
  <sheets>
    <sheet name="SHAV Final 2223" sheetId="1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O84" i="12" l="1"/>
  <c r="AP33" i="12"/>
  <c r="AP34" i="12"/>
  <c r="AP35" i="12"/>
  <c r="AP39" i="12"/>
  <c r="AP43" i="12"/>
  <c r="E16" i="12"/>
  <c r="C13" i="12"/>
  <c r="C15" i="12"/>
  <c r="BQ87" i="12" l="1"/>
  <c r="BM109" i="12"/>
  <c r="BK109" i="12"/>
  <c r="BI109" i="12"/>
  <c r="BE109" i="12"/>
  <c r="AI109" i="12"/>
  <c r="AE109" i="12"/>
  <c r="Q109" i="12"/>
  <c r="K109" i="12"/>
  <c r="BQ108" i="12"/>
  <c r="BC107" i="12"/>
  <c r="M107" i="12"/>
  <c r="BQ107" i="12" s="1"/>
  <c r="AQ106" i="12"/>
  <c r="M106" i="12"/>
  <c r="I106" i="12"/>
  <c r="BQ106" i="12" s="1"/>
  <c r="BO105" i="12"/>
  <c r="BD105" i="12"/>
  <c r="BA105" i="12"/>
  <c r="U105" i="12"/>
  <c r="P105" i="12"/>
  <c r="N105" i="12"/>
  <c r="L105" i="12"/>
  <c r="J105" i="12"/>
  <c r="G105" i="12"/>
  <c r="AY104" i="12"/>
  <c r="AU104" i="12"/>
  <c r="AS104" i="12"/>
  <c r="AS109" i="12" s="1"/>
  <c r="AR104" i="12"/>
  <c r="AM104" i="12"/>
  <c r="AK104" i="12"/>
  <c r="AH104" i="12"/>
  <c r="AF104" i="12"/>
  <c r="Y104" i="12"/>
  <c r="BN103" i="12"/>
  <c r="BC103" i="12"/>
  <c r="BC109" i="12" s="1"/>
  <c r="BB103" i="12"/>
  <c r="AZ103" i="12"/>
  <c r="AT103" i="12"/>
  <c r="AR103" i="12"/>
  <c r="AO103" i="12"/>
  <c r="AO109" i="12" s="1"/>
  <c r="AM103" i="12"/>
  <c r="AA103" i="12"/>
  <c r="Z103" i="12"/>
  <c r="V103" i="12"/>
  <c r="S103" i="12"/>
  <c r="P103" i="12"/>
  <c r="M103" i="12"/>
  <c r="J103" i="12"/>
  <c r="H103" i="12"/>
  <c r="F103" i="12"/>
  <c r="BG102" i="12"/>
  <c r="BF102" i="12"/>
  <c r="BD102" i="12"/>
  <c r="BB102" i="12"/>
  <c r="AZ102" i="12"/>
  <c r="AX102" i="12"/>
  <c r="AU102" i="12"/>
  <c r="N102" i="12"/>
  <c r="G102" i="12"/>
  <c r="BP101" i="12"/>
  <c r="BG101" i="12"/>
  <c r="BD101" i="12"/>
  <c r="BB101" i="12"/>
  <c r="AZ101" i="12"/>
  <c r="AX101" i="12"/>
  <c r="AV101" i="12"/>
  <c r="AN101" i="12"/>
  <c r="AK101" i="12"/>
  <c r="AG101" i="12"/>
  <c r="AF101" i="12"/>
  <c r="AA101" i="12"/>
  <c r="Z101" i="12"/>
  <c r="H101" i="12"/>
  <c r="BO100" i="12"/>
  <c r="BG100" i="12"/>
  <c r="BD100" i="12"/>
  <c r="AX100" i="12"/>
  <c r="AV100" i="12"/>
  <c r="AT100" i="12"/>
  <c r="AQ100" i="12"/>
  <c r="AP100" i="12"/>
  <c r="AN100" i="12"/>
  <c r="AJ100" i="12"/>
  <c r="AH100" i="12"/>
  <c r="AF100" i="12"/>
  <c r="AD100" i="12"/>
  <c r="AB100" i="12"/>
  <c r="Z100" i="12"/>
  <c r="W100" i="12"/>
  <c r="U100" i="12"/>
  <c r="U109" i="12" s="1"/>
  <c r="S100" i="12"/>
  <c r="S109" i="12" s="1"/>
  <c r="O100" i="12"/>
  <c r="N100" i="12"/>
  <c r="L100" i="12"/>
  <c r="J100" i="12"/>
  <c r="H100" i="12"/>
  <c r="E100" i="12"/>
  <c r="C100" i="12"/>
  <c r="C109" i="12" s="1"/>
  <c r="BO99" i="12"/>
  <c r="BD99" i="12"/>
  <c r="BA99" i="12"/>
  <c r="AX99" i="12"/>
  <c r="AV99" i="12"/>
  <c r="AK99" i="12"/>
  <c r="AJ99" i="12"/>
  <c r="AH99" i="12"/>
  <c r="AF99" i="12"/>
  <c r="AD99" i="12"/>
  <c r="AB99" i="12"/>
  <c r="Z99" i="12"/>
  <c r="X99" i="12"/>
  <c r="N99" i="12"/>
  <c r="G99" i="12"/>
  <c r="G109" i="12" s="1"/>
  <c r="BP98" i="12"/>
  <c r="BG98" i="12"/>
  <c r="BF98" i="12"/>
  <c r="BD98" i="12"/>
  <c r="BB98" i="12"/>
  <c r="AT98" i="12"/>
  <c r="AR98" i="12"/>
  <c r="AP98" i="12"/>
  <c r="AM98" i="12"/>
  <c r="AM109" i="12" s="1"/>
  <c r="AJ98" i="12"/>
  <c r="AH98" i="12"/>
  <c r="AF98" i="12"/>
  <c r="AB98" i="12"/>
  <c r="X98" i="12"/>
  <c r="V98" i="12"/>
  <c r="T98" i="12"/>
  <c r="O98" i="12"/>
  <c r="O109" i="12" s="1"/>
  <c r="N98" i="12"/>
  <c r="L98" i="12"/>
  <c r="I98" i="12"/>
  <c r="I109" i="12" s="1"/>
  <c r="H98" i="12"/>
  <c r="F98" i="12"/>
  <c r="BP97" i="12"/>
  <c r="BN97" i="12"/>
  <c r="BG97" i="12"/>
  <c r="BD97" i="12"/>
  <c r="BB97" i="12"/>
  <c r="AY97" i="12"/>
  <c r="AW97" i="12"/>
  <c r="AW109" i="12" s="1"/>
  <c r="AU97" i="12"/>
  <c r="AT97" i="12"/>
  <c r="AR97" i="12"/>
  <c r="AP97" i="12"/>
  <c r="AN97" i="12"/>
  <c r="AK97" i="12"/>
  <c r="AK109" i="12" s="1"/>
  <c r="AJ97" i="12"/>
  <c r="AH97" i="12"/>
  <c r="AF97" i="12"/>
  <c r="AD97" i="12"/>
  <c r="AB97" i="12"/>
  <c r="Y97" i="12"/>
  <c r="Y109" i="12" s="1"/>
  <c r="W97" i="12"/>
  <c r="N97" i="12"/>
  <c r="J97" i="12"/>
  <c r="H97" i="12"/>
  <c r="F97" i="12"/>
  <c r="BP96" i="12"/>
  <c r="BG96" i="12"/>
  <c r="BD96" i="12"/>
  <c r="AQ96" i="12"/>
  <c r="AB96" i="12"/>
  <c r="N96" i="12"/>
  <c r="L96" i="12"/>
  <c r="J96" i="12"/>
  <c r="H96" i="12"/>
  <c r="BH95" i="12"/>
  <c r="BB95" i="12"/>
  <c r="AZ95" i="12"/>
  <c r="AQ95" i="12"/>
  <c r="AG95" i="12"/>
  <c r="AG109" i="12" s="1"/>
  <c r="AF95" i="12"/>
  <c r="AC95" i="12"/>
  <c r="Z95" i="12"/>
  <c r="W95" i="12"/>
  <c r="N95" i="12"/>
  <c r="L95" i="12"/>
  <c r="J95" i="12"/>
  <c r="H95" i="12"/>
  <c r="BQ94" i="12"/>
  <c r="AZ94" i="12"/>
  <c r="AF94" i="12"/>
  <c r="BM88" i="12"/>
  <c r="BK88" i="12"/>
  <c r="BI88" i="12"/>
  <c r="BE88" i="12"/>
  <c r="BF109" i="12" s="1"/>
  <c r="AI88" i="12"/>
  <c r="AJ109" i="12" s="1"/>
  <c r="AE88" i="12"/>
  <c r="AF109" i="12" s="1"/>
  <c r="Q88" i="12"/>
  <c r="K88" i="12"/>
  <c r="BC86" i="12"/>
  <c r="BD107" i="12" s="1"/>
  <c r="M86" i="12"/>
  <c r="BQ86" i="12" s="1"/>
  <c r="AQ85" i="12"/>
  <c r="M85" i="12"/>
  <c r="N106" i="12" s="1"/>
  <c r="I85" i="12"/>
  <c r="BA84" i="12"/>
  <c r="U84" i="12"/>
  <c r="G84" i="12"/>
  <c r="H105" i="12" s="1"/>
  <c r="AY83" i="12"/>
  <c r="AZ104" i="12" s="1"/>
  <c r="AU83" i="12"/>
  <c r="AS83" i="12"/>
  <c r="AS88" i="12" s="1"/>
  <c r="AM83" i="12"/>
  <c r="AN104" i="12" s="1"/>
  <c r="AK83" i="12"/>
  <c r="Y83" i="12"/>
  <c r="BC82" i="12"/>
  <c r="BD103" i="12" s="1"/>
  <c r="AO82" i="12"/>
  <c r="AP103" i="12" s="1"/>
  <c r="AM82" i="12"/>
  <c r="AN103" i="12" s="1"/>
  <c r="AA82" i="12"/>
  <c r="S82" i="12"/>
  <c r="T103" i="12" s="1"/>
  <c r="M82" i="12"/>
  <c r="BG81" i="12"/>
  <c r="BH102" i="12" s="1"/>
  <c r="AU81" i="12"/>
  <c r="AV102" i="12" s="1"/>
  <c r="G81" i="12"/>
  <c r="BQ81" i="12" s="1"/>
  <c r="BG80" i="12"/>
  <c r="BH101" i="12" s="1"/>
  <c r="AK80" i="12"/>
  <c r="AL101" i="12" s="1"/>
  <c r="AG80" i="12"/>
  <c r="AA80" i="12"/>
  <c r="BO79" i="12"/>
  <c r="BG79" i="12"/>
  <c r="BH100" i="12" s="1"/>
  <c r="AQ79" i="12"/>
  <c r="W79" i="12"/>
  <c r="X100" i="12" s="1"/>
  <c r="U79" i="12"/>
  <c r="S79" i="12"/>
  <c r="T100" i="12" s="1"/>
  <c r="O79" i="12"/>
  <c r="E79" i="12"/>
  <c r="F100" i="12" s="1"/>
  <c r="C79" i="12"/>
  <c r="BO78" i="12"/>
  <c r="BP99" i="12" s="1"/>
  <c r="BA78" i="12"/>
  <c r="BB99" i="12" s="1"/>
  <c r="AK78" i="12"/>
  <c r="AL99" i="12" s="1"/>
  <c r="G78" i="12"/>
  <c r="H99" i="12" s="1"/>
  <c r="BG77" i="12"/>
  <c r="AM77" i="12"/>
  <c r="O77" i="12"/>
  <c r="I77" i="12"/>
  <c r="I88" i="12" s="1"/>
  <c r="BG76" i="12"/>
  <c r="AY76" i="12"/>
  <c r="AZ97" i="12" s="1"/>
  <c r="AW76" i="12"/>
  <c r="AX97" i="12" s="1"/>
  <c r="AU76" i="12"/>
  <c r="AU88" i="12" s="1"/>
  <c r="AK76" i="12"/>
  <c r="AL97" i="12" s="1"/>
  <c r="Y76" i="12"/>
  <c r="Y88" i="12" s="1"/>
  <c r="W76" i="12"/>
  <c r="X97" i="12" s="1"/>
  <c r="BG75" i="12"/>
  <c r="AQ75" i="12"/>
  <c r="AQ74" i="12"/>
  <c r="AG74" i="12"/>
  <c r="AH95" i="12" s="1"/>
  <c r="AC74" i="12"/>
  <c r="AC88" i="12" s="1"/>
  <c r="W74" i="12"/>
  <c r="X95" i="12" s="1"/>
  <c r="BQ73" i="12"/>
  <c r="BM43" i="12"/>
  <c r="BK43" i="12"/>
  <c r="BE43" i="12"/>
  <c r="AI43" i="12"/>
  <c r="AE43" i="12"/>
  <c r="Q43" i="12"/>
  <c r="BG42" i="12"/>
  <c r="AQ42" i="12"/>
  <c r="U42" i="12"/>
  <c r="I42" i="12"/>
  <c r="I43" i="12" s="1"/>
  <c r="M41" i="12"/>
  <c r="BQ41" i="12" s="1"/>
  <c r="BC40" i="12"/>
  <c r="AY40" i="12"/>
  <c r="AU40" i="12"/>
  <c r="U40" i="12"/>
  <c r="P40" i="12"/>
  <c r="M40" i="12"/>
  <c r="J40" i="12"/>
  <c r="G40" i="12"/>
  <c r="AY39" i="12"/>
  <c r="AS39" i="12"/>
  <c r="AR39" i="12"/>
  <c r="AM39" i="12"/>
  <c r="AK39" i="12"/>
  <c r="AH39" i="12"/>
  <c r="AF39" i="12"/>
  <c r="Y39" i="12"/>
  <c r="V39" i="12"/>
  <c r="T39" i="12"/>
  <c r="N39" i="12"/>
  <c r="BN38" i="12"/>
  <c r="BG38" i="12"/>
  <c r="BC38" i="12"/>
  <c r="BB38" i="12"/>
  <c r="AZ38" i="12"/>
  <c r="AX38" i="12"/>
  <c r="AM38" i="12"/>
  <c r="AA38" i="12"/>
  <c r="Z38" i="12"/>
  <c r="V38" i="12"/>
  <c r="T38" i="12"/>
  <c r="O38" i="12"/>
  <c r="M38" i="12"/>
  <c r="J38" i="12"/>
  <c r="G38" i="12"/>
  <c r="E38" i="12"/>
  <c r="E43" i="12" s="1"/>
  <c r="BP37" i="12"/>
  <c r="BG37" i="12"/>
  <c r="BC37" i="12"/>
  <c r="BB37" i="12"/>
  <c r="AZ37" i="12"/>
  <c r="AX37" i="12"/>
  <c r="AU37" i="12"/>
  <c r="AK37" i="12"/>
  <c r="AG37" i="12"/>
  <c r="AF37" i="12"/>
  <c r="AB37" i="12"/>
  <c r="Y37" i="12"/>
  <c r="G37" i="12"/>
  <c r="C37" i="12"/>
  <c r="BG36" i="12"/>
  <c r="AT36" i="12"/>
  <c r="AR36" i="12"/>
  <c r="AN36" i="12"/>
  <c r="AB36" i="12"/>
  <c r="U36" i="12"/>
  <c r="U43" i="12" s="1"/>
  <c r="S36" i="12"/>
  <c r="S43" i="12" s="1"/>
  <c r="O36" i="12"/>
  <c r="N36" i="12"/>
  <c r="J36" i="12"/>
  <c r="G36" i="12"/>
  <c r="BO35" i="12"/>
  <c r="BG35" i="12"/>
  <c r="BD35" i="12"/>
  <c r="AX35" i="12"/>
  <c r="AV35" i="12"/>
  <c r="AR35" i="12"/>
  <c r="AO35" i="12"/>
  <c r="AO43" i="12" s="1"/>
  <c r="AN35" i="12"/>
  <c r="AJ35" i="12"/>
  <c r="AG35" i="12"/>
  <c r="AF35" i="12"/>
  <c r="AC35" i="12"/>
  <c r="AB35" i="12"/>
  <c r="Z35" i="12"/>
  <c r="X35" i="12"/>
  <c r="V35" i="12"/>
  <c r="T35" i="12"/>
  <c r="M35" i="12"/>
  <c r="K35" i="12"/>
  <c r="K43" i="12" s="1"/>
  <c r="J35" i="12"/>
  <c r="G35" i="12"/>
  <c r="C35" i="12"/>
  <c r="BO34" i="12"/>
  <c r="BD34" i="12"/>
  <c r="BA34" i="12"/>
  <c r="AX34" i="12"/>
  <c r="AV34" i="12"/>
  <c r="AS34" i="12"/>
  <c r="AS43" i="12" s="1"/>
  <c r="AR34" i="12"/>
  <c r="AN34" i="12"/>
  <c r="AK34" i="12"/>
  <c r="AJ34" i="12"/>
  <c r="AH34" i="12"/>
  <c r="AF34" i="12"/>
  <c r="AD34" i="12"/>
  <c r="AB34" i="12"/>
  <c r="Z34" i="12"/>
  <c r="X34" i="12"/>
  <c r="V34" i="12"/>
  <c r="T34" i="12"/>
  <c r="N34" i="12"/>
  <c r="L34" i="12"/>
  <c r="J34" i="12"/>
  <c r="G34" i="12"/>
  <c r="C34" i="12"/>
  <c r="BP33" i="12"/>
  <c r="BN33" i="12"/>
  <c r="BG33" i="12"/>
  <c r="BF33" i="12"/>
  <c r="BD33" i="12"/>
  <c r="BA33" i="12"/>
  <c r="AY33" i="12"/>
  <c r="AW33" i="12"/>
  <c r="AV33" i="12"/>
  <c r="AT33" i="12"/>
  <c r="AR33" i="12"/>
  <c r="AN33" i="12"/>
  <c r="AJ33" i="12"/>
  <c r="AH33" i="12"/>
  <c r="AF33" i="12"/>
  <c r="AD33" i="12"/>
  <c r="AB33" i="12"/>
  <c r="Z33" i="12"/>
  <c r="V33" i="12"/>
  <c r="T33" i="12"/>
  <c r="O33" i="12"/>
  <c r="N33" i="12"/>
  <c r="L33" i="12"/>
  <c r="J33" i="12"/>
  <c r="G33" i="12"/>
  <c r="H33" i="12" s="1"/>
  <c r="F33" i="12"/>
  <c r="AV32" i="12"/>
  <c r="AK32" i="12"/>
  <c r="AJ32" i="12"/>
  <c r="AH32" i="12"/>
  <c r="AF32" i="12"/>
  <c r="AD32" i="12"/>
  <c r="AA32" i="12"/>
  <c r="W32" i="12"/>
  <c r="N32" i="12"/>
  <c r="F32" i="12"/>
  <c r="BP31" i="12"/>
  <c r="BG31" i="12"/>
  <c r="BC31" i="12"/>
  <c r="BC43" i="12" s="1"/>
  <c r="G31" i="12"/>
  <c r="BG30" i="12"/>
  <c r="AQ30" i="12"/>
  <c r="AB30" i="12"/>
  <c r="M30" i="12"/>
  <c r="L30" i="12"/>
  <c r="J30" i="12"/>
  <c r="H30" i="12"/>
  <c r="BH29" i="12"/>
  <c r="AQ29" i="12"/>
  <c r="AH29" i="12"/>
  <c r="AF29" i="12"/>
  <c r="AC29" i="12"/>
  <c r="AA29" i="12"/>
  <c r="W29" i="12"/>
  <c r="M29" i="12"/>
  <c r="J29" i="12"/>
  <c r="BB28" i="12"/>
  <c r="AZ28" i="12"/>
  <c r="AC28" i="12"/>
  <c r="AC43" i="12" s="1"/>
  <c r="Y28" i="12"/>
  <c r="BQ27" i="12"/>
  <c r="BM21" i="12"/>
  <c r="BK21" i="12"/>
  <c r="BI21" i="12"/>
  <c r="BE21" i="12"/>
  <c r="BF43" i="12" s="1"/>
  <c r="AI21" i="12"/>
  <c r="AJ43" i="12" s="1"/>
  <c r="AE21" i="12"/>
  <c r="Q21" i="12"/>
  <c r="BG20" i="12"/>
  <c r="AQ20" i="12"/>
  <c r="U20" i="12"/>
  <c r="V42" i="12" s="1"/>
  <c r="I20" i="12"/>
  <c r="J42" i="12" s="1"/>
  <c r="M19" i="12"/>
  <c r="BQ19" i="12" s="1"/>
  <c r="BC18" i="12"/>
  <c r="BD40" i="12" s="1"/>
  <c r="AY18" i="12"/>
  <c r="AU18" i="12"/>
  <c r="AV40" i="12" s="1"/>
  <c r="U18" i="12"/>
  <c r="V40" i="12" s="1"/>
  <c r="M18" i="12"/>
  <c r="G18" i="12"/>
  <c r="H40" i="12" s="1"/>
  <c r="AY17" i="12"/>
  <c r="AS17" i="12"/>
  <c r="AM17" i="12"/>
  <c r="AK17" i="12"/>
  <c r="Y17" i="12"/>
  <c r="Z39" i="12" s="1"/>
  <c r="BG16" i="12"/>
  <c r="BH38" i="12" s="1"/>
  <c r="BC16" i="12"/>
  <c r="BD38" i="12" s="1"/>
  <c r="AM16" i="12"/>
  <c r="AN38" i="12" s="1"/>
  <c r="AA16" i="12"/>
  <c r="AB38" i="12" s="1"/>
  <c r="O16" i="12"/>
  <c r="P38" i="12" s="1"/>
  <c r="M16" i="12"/>
  <c r="BQ16" i="12" s="1"/>
  <c r="G16" i="12"/>
  <c r="BG15" i="12"/>
  <c r="BH37" i="12" s="1"/>
  <c r="BC15" i="12"/>
  <c r="AU15" i="12"/>
  <c r="AV37" i="12" s="1"/>
  <c r="AK15" i="12"/>
  <c r="AG15" i="12"/>
  <c r="Y15" i="12"/>
  <c r="G15" i="12"/>
  <c r="BG14" i="12"/>
  <c r="BH36" i="12" s="1"/>
  <c r="U14" i="12"/>
  <c r="S14" i="12"/>
  <c r="S21" i="12" s="1"/>
  <c r="O14" i="12"/>
  <c r="G14" i="12"/>
  <c r="BO13" i="12"/>
  <c r="BG13" i="12"/>
  <c r="AO13" i="12"/>
  <c r="AO21" i="12" s="1"/>
  <c r="AG13" i="12"/>
  <c r="AC13" i="12"/>
  <c r="M13" i="12"/>
  <c r="K13" i="12"/>
  <c r="K21" i="12" s="1"/>
  <c r="G13" i="12"/>
  <c r="BO12" i="12"/>
  <c r="BP34" i="12" s="1"/>
  <c r="BA12" i="12"/>
  <c r="AS12" i="12"/>
  <c r="AK12" i="12"/>
  <c r="AL34" i="12" s="1"/>
  <c r="G12" i="12"/>
  <c r="C12" i="12"/>
  <c r="D34" i="12" s="1"/>
  <c r="BG11" i="12"/>
  <c r="BA11" i="12"/>
  <c r="AY11" i="12"/>
  <c r="AW11" i="12"/>
  <c r="AW21" i="12" s="1"/>
  <c r="O11" i="12"/>
  <c r="P33" i="12" s="1"/>
  <c r="AK10" i="12"/>
  <c r="AA10" i="12"/>
  <c r="W10" i="12"/>
  <c r="BG9" i="12"/>
  <c r="BC9" i="12"/>
  <c r="G9" i="12"/>
  <c r="BG8" i="12"/>
  <c r="AQ8" i="12"/>
  <c r="M8" i="12"/>
  <c r="AQ7" i="12"/>
  <c r="AC7" i="12"/>
  <c r="AA7" i="12"/>
  <c r="W7" i="12"/>
  <c r="X29" i="12" s="1"/>
  <c r="M7" i="12"/>
  <c r="AC6" i="12"/>
  <c r="Y6" i="12"/>
  <c r="Y21" i="12" s="1"/>
  <c r="BQ5" i="12"/>
  <c r="AU43" i="12" l="1"/>
  <c r="AH35" i="12"/>
  <c r="AV104" i="12"/>
  <c r="BQ96" i="12"/>
  <c r="Z37" i="12"/>
  <c r="BG43" i="12"/>
  <c r="V100" i="12"/>
  <c r="BN109" i="12"/>
  <c r="BB105" i="12"/>
  <c r="BH35" i="12"/>
  <c r="BH42" i="12"/>
  <c r="BQ32" i="12"/>
  <c r="BC21" i="12"/>
  <c r="BA21" i="12"/>
  <c r="Y43" i="12"/>
  <c r="BQ10" i="12"/>
  <c r="AY43" i="12"/>
  <c r="D100" i="12"/>
  <c r="AY109" i="12"/>
  <c r="M21" i="12"/>
  <c r="AY21" i="12"/>
  <c r="AM88" i="12"/>
  <c r="O88" i="12"/>
  <c r="AQ109" i="12"/>
  <c r="C21" i="12"/>
  <c r="BH98" i="12"/>
  <c r="BO109" i="12"/>
  <c r="BQ105" i="12"/>
  <c r="BQ39" i="12"/>
  <c r="W43" i="12"/>
  <c r="H36" i="12"/>
  <c r="W109" i="12"/>
  <c r="BG109" i="12"/>
  <c r="BQ102" i="12"/>
  <c r="BR102" i="12" s="1"/>
  <c r="L109" i="12"/>
  <c r="BO43" i="12"/>
  <c r="AH37" i="12"/>
  <c r="BQ83" i="12"/>
  <c r="AK21" i="12"/>
  <c r="BQ14" i="12"/>
  <c r="AD29" i="12"/>
  <c r="BQ75" i="12"/>
  <c r="BR96" i="12" s="1"/>
  <c r="AD95" i="12"/>
  <c r="AS21" i="12"/>
  <c r="BQ36" i="12"/>
  <c r="AN39" i="12"/>
  <c r="BQ85" i="12"/>
  <c r="BR106" i="12" s="1"/>
  <c r="AC21" i="12"/>
  <c r="BQ12" i="12"/>
  <c r="BQ15" i="12"/>
  <c r="O43" i="12"/>
  <c r="AA88" i="12"/>
  <c r="AO88" i="12"/>
  <c r="BA109" i="12"/>
  <c r="BQ103" i="12"/>
  <c r="AD43" i="12"/>
  <c r="AQ21" i="12"/>
  <c r="AA21" i="12"/>
  <c r="AX33" i="12"/>
  <c r="N38" i="12"/>
  <c r="BG88" i="12"/>
  <c r="AV97" i="12"/>
  <c r="BQ99" i="12"/>
  <c r="AH101" i="12"/>
  <c r="BP105" i="12"/>
  <c r="BQ84" i="12"/>
  <c r="BQ76" i="12"/>
  <c r="BQ8" i="12"/>
  <c r="G21" i="12"/>
  <c r="N29" i="12"/>
  <c r="AQ43" i="12"/>
  <c r="AL32" i="12"/>
  <c r="AT39" i="12"/>
  <c r="BN43" i="12"/>
  <c r="M88" i="12"/>
  <c r="AL104" i="12"/>
  <c r="Z28" i="12"/>
  <c r="AR30" i="12"/>
  <c r="AZ33" i="12"/>
  <c r="H34" i="12"/>
  <c r="BD37" i="12"/>
  <c r="AZ39" i="12"/>
  <c r="AG88" i="12"/>
  <c r="J109" i="12"/>
  <c r="BQ100" i="12"/>
  <c r="BP100" i="12"/>
  <c r="H102" i="12"/>
  <c r="BQ82" i="12"/>
  <c r="BQ74" i="12"/>
  <c r="BQ6" i="12"/>
  <c r="AD28" i="12"/>
  <c r="BQ29" i="12"/>
  <c r="X32" i="12"/>
  <c r="BB33" i="12"/>
  <c r="AT43" i="12"/>
  <c r="H35" i="12"/>
  <c r="AZ40" i="12"/>
  <c r="AF43" i="12"/>
  <c r="AR96" i="12"/>
  <c r="AR100" i="12"/>
  <c r="AR106" i="12"/>
  <c r="U21" i="12"/>
  <c r="V43" i="12" s="1"/>
  <c r="H31" i="12"/>
  <c r="AD35" i="12"/>
  <c r="AL37" i="12"/>
  <c r="AR42" i="12"/>
  <c r="BQ95" i="12"/>
  <c r="AB103" i="12"/>
  <c r="BR107" i="12"/>
  <c r="AC109" i="12"/>
  <c r="AD109" i="12" s="1"/>
  <c r="BQ80" i="12"/>
  <c r="BO21" i="12"/>
  <c r="BP43" i="12" s="1"/>
  <c r="BQ20" i="12"/>
  <c r="L43" i="12"/>
  <c r="T43" i="12"/>
  <c r="C43" i="12"/>
  <c r="AL39" i="12"/>
  <c r="N40" i="12"/>
  <c r="BQ40" i="12"/>
  <c r="AK43" i="12"/>
  <c r="Z97" i="12"/>
  <c r="BH97" i="12"/>
  <c r="BQ101" i="12"/>
  <c r="BR101" i="12" s="1"/>
  <c r="V105" i="12"/>
  <c r="BQ79" i="12"/>
  <c r="BR100" i="12" s="1"/>
  <c r="BG21" i="12"/>
  <c r="BH43" i="12" s="1"/>
  <c r="BQ30" i="12"/>
  <c r="BD43" i="12"/>
  <c r="BH33" i="12"/>
  <c r="N35" i="12"/>
  <c r="AG43" i="12"/>
  <c r="H37" i="12"/>
  <c r="H38" i="12"/>
  <c r="BQ42" i="12"/>
  <c r="BA43" i="12"/>
  <c r="BB43" i="12" s="1"/>
  <c r="AQ88" i="12"/>
  <c r="AW88" i="12"/>
  <c r="AX109" i="12" s="1"/>
  <c r="P98" i="12"/>
  <c r="AN109" i="12"/>
  <c r="AB101" i="12"/>
  <c r="AP109" i="12"/>
  <c r="BQ104" i="12"/>
  <c r="BR104" i="12" s="1"/>
  <c r="BQ78" i="12"/>
  <c r="BR99" i="12" s="1"/>
  <c r="BQ11" i="12"/>
  <c r="O21" i="12"/>
  <c r="P43" i="12" s="1"/>
  <c r="BQ17" i="12"/>
  <c r="BR39" i="12" s="1"/>
  <c r="E21" i="12"/>
  <c r="F43" i="12" s="1"/>
  <c r="BQ28" i="12"/>
  <c r="N30" i="12"/>
  <c r="BP35" i="12"/>
  <c r="AM43" i="12"/>
  <c r="N41" i="12"/>
  <c r="AH109" i="12"/>
  <c r="AN98" i="12"/>
  <c r="P100" i="12"/>
  <c r="N103" i="12"/>
  <c r="BQ77" i="12"/>
  <c r="BR41" i="12"/>
  <c r="BR105" i="12"/>
  <c r="AR109" i="12"/>
  <c r="AT109" i="12"/>
  <c r="Z43" i="12"/>
  <c r="AZ43" i="12"/>
  <c r="Z109" i="12"/>
  <c r="D43" i="12"/>
  <c r="BH109" i="12"/>
  <c r="P109" i="12"/>
  <c r="BQ33" i="12"/>
  <c r="AT34" i="12"/>
  <c r="BQ34" i="12"/>
  <c r="L35" i="12"/>
  <c r="P36" i="12"/>
  <c r="F38" i="12"/>
  <c r="BQ38" i="12"/>
  <c r="BR38" i="12" s="1"/>
  <c r="M43" i="12"/>
  <c r="N43" i="12" s="1"/>
  <c r="C88" i="12"/>
  <c r="S88" i="12"/>
  <c r="T109" i="12" s="1"/>
  <c r="AY88" i="12"/>
  <c r="AZ109" i="12" s="1"/>
  <c r="BO88" i="12"/>
  <c r="BP109" i="12" s="1"/>
  <c r="Z104" i="12"/>
  <c r="J106" i="12"/>
  <c r="N107" i="12"/>
  <c r="E109" i="12"/>
  <c r="M109" i="12"/>
  <c r="BQ13" i="12"/>
  <c r="W21" i="12"/>
  <c r="X43" i="12" s="1"/>
  <c r="AM21" i="12"/>
  <c r="AU21" i="12"/>
  <c r="AV43" i="12" s="1"/>
  <c r="BD31" i="12"/>
  <c r="BQ35" i="12"/>
  <c r="E88" i="12"/>
  <c r="U88" i="12"/>
  <c r="V109" i="12" s="1"/>
  <c r="AK88" i="12"/>
  <c r="AL109" i="12" s="1"/>
  <c r="BA88" i="12"/>
  <c r="BB109" i="12" s="1"/>
  <c r="BQ98" i="12"/>
  <c r="AT104" i="12"/>
  <c r="AU109" i="12"/>
  <c r="AV109" i="12" s="1"/>
  <c r="D37" i="12"/>
  <c r="BH30" i="12"/>
  <c r="T36" i="12"/>
  <c r="G43" i="12"/>
  <c r="G88" i="12"/>
  <c r="H109" i="12" s="1"/>
  <c r="W88" i="12"/>
  <c r="X109" i="12" s="1"/>
  <c r="BC88" i="12"/>
  <c r="BD109" i="12" s="1"/>
  <c r="BH96" i="12"/>
  <c r="J98" i="12"/>
  <c r="I21" i="12"/>
  <c r="J43" i="12" s="1"/>
  <c r="AG21" i="12"/>
  <c r="BH31" i="12"/>
  <c r="D35" i="12"/>
  <c r="AW43" i="12"/>
  <c r="AX43" i="12" s="1"/>
  <c r="BR103" i="12"/>
  <c r="AR95" i="12"/>
  <c r="AR29" i="12"/>
  <c r="AB32" i="12"/>
  <c r="BB34" i="12"/>
  <c r="V36" i="12"/>
  <c r="BQ9" i="12"/>
  <c r="AB29" i="12"/>
  <c r="BQ31" i="12"/>
  <c r="BQ37" i="12"/>
  <c r="AA43" i="12"/>
  <c r="BQ97" i="12"/>
  <c r="BR97" i="12" s="1"/>
  <c r="AA109" i="12"/>
  <c r="AB109" i="12" s="1"/>
  <c r="BQ7" i="12"/>
  <c r="BQ18" i="12"/>
  <c r="BR40" i="12" s="1"/>
  <c r="BR36" i="12" l="1"/>
  <c r="BR32" i="12"/>
  <c r="AL43" i="12"/>
  <c r="BR34" i="12"/>
  <c r="BR37" i="12"/>
  <c r="BR30" i="12"/>
  <c r="H43" i="12"/>
  <c r="AR43" i="12"/>
  <c r="BR42" i="12"/>
  <c r="BR33" i="12"/>
  <c r="BR28" i="12"/>
  <c r="BR98" i="12"/>
  <c r="AN43" i="12"/>
  <c r="AH43" i="12"/>
  <c r="BR95" i="12"/>
  <c r="AB43" i="12"/>
  <c r="N109" i="12"/>
  <c r="BR31" i="12"/>
  <c r="BR35" i="12"/>
  <c r="BQ21" i="12"/>
  <c r="BR29" i="12"/>
  <c r="BQ88" i="12"/>
  <c r="BQ109" i="12"/>
  <c r="D109" i="12"/>
  <c r="F109" i="12"/>
  <c r="BQ43" i="12"/>
  <c r="BR43" i="12" l="1"/>
  <c r="BR109" i="12"/>
</calcChain>
</file>

<file path=xl/sharedStrings.xml><?xml version="1.0" encoding="utf-8"?>
<sst xmlns="http://schemas.openxmlformats.org/spreadsheetml/2006/main" count="657" uniqueCount="92">
  <si>
    <t>Grand Total</t>
  </si>
  <si>
    <t>Post Code</t>
  </si>
  <si>
    <t>Total</t>
  </si>
  <si>
    <t>&lt;£50,000</t>
  </si>
  <si>
    <t>POST CODE</t>
  </si>
  <si>
    <t>CR0 0**</t>
  </si>
  <si>
    <t>SW11 1**</t>
  </si>
  <si>
    <t>SW11 2**</t>
  </si>
  <si>
    <t>SW11 3**</t>
  </si>
  <si>
    <t>SW11 4**</t>
  </si>
  <si>
    <t>SW11 5**</t>
  </si>
  <si>
    <t>SW11 6**</t>
  </si>
  <si>
    <t>SW12 0**</t>
  </si>
  <si>
    <t>SW12 8**</t>
  </si>
  <si>
    <t>SW12 9**</t>
  </si>
  <si>
    <t>SW15 1**</t>
  </si>
  <si>
    <t>SW15 2**</t>
  </si>
  <si>
    <t>SW15 3**</t>
  </si>
  <si>
    <t>SW15 4**</t>
  </si>
  <si>
    <t>SW15 5**</t>
  </si>
  <si>
    <t>SW15 6**</t>
  </si>
  <si>
    <t>SW16 1**</t>
  </si>
  <si>
    <t>SW16 6**</t>
  </si>
  <si>
    <t>SW17 0**</t>
  </si>
  <si>
    <t>SW17 7**</t>
  </si>
  <si>
    <t>SW17 8**</t>
  </si>
  <si>
    <t>SW17 9**</t>
  </si>
  <si>
    <t>SW18 1**</t>
  </si>
  <si>
    <t>SW18 2**</t>
  </si>
  <si>
    <t>SW18 3**</t>
  </si>
  <si>
    <t>SW18 4**</t>
  </si>
  <si>
    <t>SW18 5**</t>
  </si>
  <si>
    <t>SW19 5**</t>
  </si>
  <si>
    <t>SW19 6**</t>
  </si>
  <si>
    <t>SW4 0**</t>
  </si>
  <si>
    <t>SW8 3**</t>
  </si>
  <si>
    <t>SW8 4**</t>
  </si>
  <si>
    <t>TOTAL</t>
  </si>
  <si>
    <t>Table 1: Total Number of Social Housing Dwellings (Market Value)</t>
  </si>
  <si>
    <t>Valuation Band Range</t>
  </si>
  <si>
    <t>Valuation Band</t>
  </si>
  <si>
    <t>£50,000 - £59,999</t>
  </si>
  <si>
    <t>£70,000 - £79,999</t>
  </si>
  <si>
    <t>£100,000 - £299,999</t>
  </si>
  <si>
    <t>£120,000 - £139,999</t>
  </si>
  <si>
    <t>£140,000 - £159,999</t>
  </si>
  <si>
    <t>£160,000 - £179,999</t>
  </si>
  <si>
    <t>£180,000 - £199,999</t>
  </si>
  <si>
    <t>£200,000 - £219,999</t>
  </si>
  <si>
    <t>£220,000 - £239,999</t>
  </si>
  <si>
    <t>£240,000 - £259,999</t>
  </si>
  <si>
    <t>£260,000 - £279,999</t>
  </si>
  <si>
    <t>£280,000 - £299,999</t>
  </si>
  <si>
    <t>£300,000 - £499,999</t>
  </si>
  <si>
    <t>£300,000 - £349,999</t>
  </si>
  <si>
    <t>£350,000 - £399,999</t>
  </si>
  <si>
    <t>£400,000 - £449,999</t>
  </si>
  <si>
    <t>£450,000 - £499,999</t>
  </si>
  <si>
    <t>£500,000 - £999,999</t>
  </si>
  <si>
    <t>£500,000 - £599,999</t>
  </si>
  <si>
    <t>£600,000 - £699,999</t>
  </si>
  <si>
    <t>£700,000 - £799,999</t>
  </si>
  <si>
    <t>£800,000 - £899,999</t>
  </si>
  <si>
    <t>£900,000 - £999,999</t>
  </si>
  <si>
    <t>&gt;£1,000,000</t>
  </si>
  <si>
    <t>Table 2:  Dwellings Value (£)(Market Value)</t>
  </si>
  <si>
    <t xml:space="preserve">Total </t>
  </si>
  <si>
    <t>Average</t>
  </si>
  <si>
    <t>Table 3: Tenure Status (Dwellings) (Market Value)</t>
  </si>
  <si>
    <t xml:space="preserve">% Occupied </t>
  </si>
  <si>
    <t xml:space="preserve">% Vacant </t>
  </si>
  <si>
    <t>% Occupied</t>
  </si>
  <si>
    <t>% Vacant</t>
  </si>
  <si>
    <t>Table 4:  Total Number Social Housing Values (EUV-SH*)</t>
  </si>
  <si>
    <t xml:space="preserve">Post Code </t>
  </si>
  <si>
    <t>£60,000 - £69,999</t>
  </si>
  <si>
    <t>£80,000 - £89,999</t>
  </si>
  <si>
    <t>£90,000 - £99,999</t>
  </si>
  <si>
    <t>£100,000 - £119,000</t>
  </si>
  <si>
    <t>£200,000 - £249,000</t>
  </si>
  <si>
    <t>£250,000 - £299,999</t>
  </si>
  <si>
    <t>£300,000 - £399,999</t>
  </si>
  <si>
    <t>*The total number of properties valued using EUV-SH differs from those using market values as individual HRA hostel units with shared facilities are excluded.  The 25% EUV-SH adjustment factor does not apply as hostel residents do not have the same rights as other tenants or qualify for the Right to Buy.</t>
  </si>
  <si>
    <t>Table 5: Dwellings Value (EUV-SH)</t>
  </si>
  <si>
    <t xml:space="preserve">Average </t>
  </si>
  <si>
    <t>Table 6: Tenure Status (EUV-SH)</t>
  </si>
  <si>
    <t>SW4 7**</t>
  </si>
  <si>
    <t>£1 - £49,999</t>
  </si>
  <si>
    <t>£50,000 - £99,999</t>
  </si>
  <si>
    <t>£100,000 - £199,999</t>
  </si>
  <si>
    <t>£200,000 - £399,999</t>
  </si>
  <si>
    <t>£400,000 - £499,999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</si>
</sst>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£&quot;#,##0"/>
    <numFmt numFmtId="165" formatCode="&quot;£&quot;#,##0.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4" fillId="0" borderId="0"/>
    <xf numFmtId="0" fontId="1" fillId="0" borderId="0"/>
    <xf numFmtId="9" fontId="1" fillId="0" borderId="0" applyFont="0" applyFill="0" applyBorder="0" applyAlignment="0" applyProtection="0"/>
  </cellStyleXfs>
  <cellXfs count="165">
    <xf numFmtId="0" fontId="0" fillId="0" borderId="0" xfId="0"/>
    <xf numFmtId="164" fontId="0" fillId="0" borderId="0" xfId="0" applyNumberFormat="1"/>
    <xf numFmtId="0" fontId="2" fillId="0" borderId="0" xfId="0" applyFont="1"/>
    <xf numFmtId="0" fontId="2" fillId="0" borderId="6" xfId="0" applyFont="1" applyBorder="1"/>
    <xf numFmtId="0" fontId="1" fillId="0" borderId="0" xfId="2"/>
    <xf numFmtId="3" fontId="1" fillId="0" borderId="0" xfId="2" applyNumberFormat="1"/>
    <xf numFmtId="9" fontId="1" fillId="0" borderId="8" xfId="2" applyNumberFormat="1" applyBorder="1" applyAlignment="1">
      <alignment horizontal="center"/>
    </xf>
    <xf numFmtId="9" fontId="1" fillId="0" borderId="9" xfId="2" applyNumberFormat="1" applyBorder="1" applyAlignment="1">
      <alignment horizontal="center"/>
    </xf>
    <xf numFmtId="9" fontId="1" fillId="0" borderId="7" xfId="2" applyNumberFormat="1" applyBorder="1" applyAlignment="1">
      <alignment horizontal="center"/>
    </xf>
    <xf numFmtId="9" fontId="1" fillId="0" borderId="14" xfId="2" applyNumberFormat="1" applyBorder="1" applyAlignment="1">
      <alignment horizontal="center"/>
    </xf>
    <xf numFmtId="9" fontId="1" fillId="0" borderId="15" xfId="2" applyNumberFormat="1" applyBorder="1" applyAlignment="1">
      <alignment horizontal="center"/>
    </xf>
    <xf numFmtId="9" fontId="1" fillId="0" borderId="24" xfId="2" applyNumberFormat="1" applyBorder="1" applyAlignment="1">
      <alignment horizontal="center"/>
    </xf>
    <xf numFmtId="9" fontId="1" fillId="0" borderId="40" xfId="2" applyNumberFormat="1" applyBorder="1" applyAlignment="1">
      <alignment horizontal="center"/>
    </xf>
    <xf numFmtId="9" fontId="1" fillId="0" borderId="21" xfId="2" applyNumberFormat="1" applyBorder="1" applyAlignment="1">
      <alignment horizontal="center"/>
    </xf>
    <xf numFmtId="9" fontId="1" fillId="0" borderId="22" xfId="2" applyNumberFormat="1" applyBorder="1" applyAlignment="1">
      <alignment horizontal="center"/>
    </xf>
    <xf numFmtId="9" fontId="1" fillId="0" borderId="8" xfId="2" applyNumberFormat="1" applyBorder="1"/>
    <xf numFmtId="9" fontId="1" fillId="0" borderId="18" xfId="2" applyNumberFormat="1" applyBorder="1" applyAlignment="1">
      <alignment horizontal="center"/>
    </xf>
    <xf numFmtId="9" fontId="1" fillId="0" borderId="19" xfId="2" applyNumberFormat="1" applyBorder="1" applyAlignment="1">
      <alignment horizontal="center"/>
    </xf>
    <xf numFmtId="9" fontId="1" fillId="0" borderId="30" xfId="2" applyNumberFormat="1" applyBorder="1" applyAlignment="1">
      <alignment horizontal="center"/>
    </xf>
    <xf numFmtId="9" fontId="1" fillId="0" borderId="41" xfId="2" applyNumberFormat="1" applyBorder="1" applyAlignment="1">
      <alignment horizontal="center"/>
    </xf>
    <xf numFmtId="164" fontId="1" fillId="0" borderId="6" xfId="2" applyNumberFormat="1" applyBorder="1" applyAlignment="1">
      <alignment horizontal="center"/>
    </xf>
    <xf numFmtId="9" fontId="1" fillId="0" borderId="31" xfId="2" applyNumberFormat="1" applyBorder="1" applyAlignment="1">
      <alignment horizontal="center"/>
    </xf>
    <xf numFmtId="0" fontId="2" fillId="0" borderId="0" xfId="2" applyFont="1"/>
    <xf numFmtId="0" fontId="2" fillId="0" borderId="0" xfId="2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1" fillId="0" borderId="0" xfId="2" applyAlignment="1">
      <alignment horizontal="center"/>
    </xf>
    <xf numFmtId="3" fontId="0" fillId="0" borderId="0" xfId="0" applyNumberFormat="1"/>
    <xf numFmtId="9" fontId="2" fillId="0" borderId="0" xfId="2" applyNumberFormat="1" applyFont="1" applyAlignment="1">
      <alignment horizontal="center"/>
    </xf>
    <xf numFmtId="164" fontId="1" fillId="0" borderId="0" xfId="2" applyNumberFormat="1" applyAlignment="1">
      <alignment horizontal="center"/>
    </xf>
    <xf numFmtId="0" fontId="2" fillId="3" borderId="14" xfId="2" applyFont="1" applyFill="1" applyBorder="1"/>
    <xf numFmtId="0" fontId="2" fillId="3" borderId="15" xfId="2" applyFont="1" applyFill="1" applyBorder="1"/>
    <xf numFmtId="0" fontId="2" fillId="3" borderId="18" xfId="2" applyFont="1" applyFill="1" applyBorder="1"/>
    <xf numFmtId="0" fontId="2" fillId="3" borderId="19" xfId="2" applyFont="1" applyFill="1" applyBorder="1"/>
    <xf numFmtId="0" fontId="2" fillId="4" borderId="8" xfId="2" applyFont="1" applyFill="1" applyBorder="1"/>
    <xf numFmtId="0" fontId="2" fillId="4" borderId="7" xfId="2" applyFont="1" applyFill="1" applyBorder="1"/>
    <xf numFmtId="0" fontId="2" fillId="4" borderId="28" xfId="2" applyFont="1" applyFill="1" applyBorder="1"/>
    <xf numFmtId="0" fontId="2" fillId="4" borderId="32" xfId="2" applyFont="1" applyFill="1" applyBorder="1"/>
    <xf numFmtId="0" fontId="2" fillId="4" borderId="21" xfId="2" applyFont="1" applyFill="1" applyBorder="1"/>
    <xf numFmtId="0" fontId="2" fillId="4" borderId="31" xfId="2" applyFont="1" applyFill="1" applyBorder="1"/>
    <xf numFmtId="0" fontId="2" fillId="4" borderId="19" xfId="2" applyFont="1" applyFill="1" applyBorder="1" applyAlignment="1">
      <alignment horizontal="center"/>
    </xf>
    <xf numFmtId="0" fontId="2" fillId="4" borderId="18" xfId="2" applyFont="1" applyFill="1" applyBorder="1" applyAlignment="1">
      <alignment horizontal="center"/>
    </xf>
    <xf numFmtId="0" fontId="2" fillId="4" borderId="30" xfId="2" applyFont="1" applyFill="1" applyBorder="1" applyAlignment="1">
      <alignment horizontal="center"/>
    </xf>
    <xf numFmtId="0" fontId="2" fillId="4" borderId="20" xfId="2" applyFont="1" applyFill="1" applyBorder="1" applyAlignment="1">
      <alignment horizontal="center"/>
    </xf>
    <xf numFmtId="0" fontId="2" fillId="4" borderId="9" xfId="2" applyFont="1" applyFill="1" applyBorder="1"/>
    <xf numFmtId="0" fontId="2" fillId="4" borderId="26" xfId="2" applyFont="1" applyFill="1" applyBorder="1"/>
    <xf numFmtId="0" fontId="2" fillId="4" borderId="27" xfId="2" applyFont="1" applyFill="1" applyBorder="1"/>
    <xf numFmtId="0" fontId="2" fillId="4" borderId="6" xfId="2" applyFont="1" applyFill="1" applyBorder="1"/>
    <xf numFmtId="0" fontId="2" fillId="4" borderId="19" xfId="2" applyFont="1" applyFill="1" applyBorder="1"/>
    <xf numFmtId="9" fontId="2" fillId="3" borderId="1" xfId="2" applyNumberFormat="1" applyFont="1" applyFill="1" applyBorder="1" applyAlignment="1">
      <alignment horizontal="center"/>
    </xf>
    <xf numFmtId="9" fontId="2" fillId="3" borderId="33" xfId="2" applyNumberFormat="1" applyFont="1" applyFill="1" applyBorder="1" applyAlignment="1">
      <alignment horizontal="center"/>
    </xf>
    <xf numFmtId="9" fontId="2" fillId="3" borderId="2" xfId="2" applyNumberFormat="1" applyFont="1" applyFill="1" applyBorder="1" applyAlignment="1">
      <alignment horizontal="center"/>
    </xf>
    <xf numFmtId="0" fontId="2" fillId="3" borderId="29" xfId="2" applyFont="1" applyFill="1" applyBorder="1"/>
    <xf numFmtId="0" fontId="2" fillId="3" borderId="30" xfId="2" applyFont="1" applyFill="1" applyBorder="1"/>
    <xf numFmtId="0" fontId="2" fillId="4" borderId="1" xfId="2" applyFont="1" applyFill="1" applyBorder="1" applyAlignment="1">
      <alignment horizontal="center"/>
    </xf>
    <xf numFmtId="0" fontId="2" fillId="4" borderId="33" xfId="2" applyFont="1" applyFill="1" applyBorder="1" applyAlignment="1">
      <alignment horizontal="center"/>
    </xf>
    <xf numFmtId="0" fontId="2" fillId="4" borderId="2" xfId="2" applyFont="1" applyFill="1" applyBorder="1" applyAlignment="1">
      <alignment horizontal="center"/>
    </xf>
    <xf numFmtId="0" fontId="2" fillId="4" borderId="42" xfId="2" applyFont="1" applyFill="1" applyBorder="1" applyAlignment="1">
      <alignment horizontal="center"/>
    </xf>
    <xf numFmtId="0" fontId="2" fillId="4" borderId="6" xfId="0" applyFont="1" applyFill="1" applyBorder="1"/>
    <xf numFmtId="0" fontId="2" fillId="4" borderId="12" xfId="2" applyFont="1" applyFill="1" applyBorder="1" applyAlignment="1">
      <alignment horizontal="center"/>
    </xf>
    <xf numFmtId="165" fontId="2" fillId="4" borderId="1" xfId="2" applyNumberFormat="1" applyFont="1" applyFill="1" applyBorder="1" applyAlignment="1">
      <alignment horizontal="center"/>
    </xf>
    <xf numFmtId="164" fontId="1" fillId="0" borderId="6" xfId="2" applyNumberFormat="1" applyBorder="1" applyAlignment="1">
      <alignment horizontal="center" vertical="center"/>
    </xf>
    <xf numFmtId="164" fontId="1" fillId="0" borderId="22" xfId="2" applyNumberFormat="1" applyBorder="1" applyAlignment="1">
      <alignment horizontal="center" vertical="center"/>
    </xf>
    <xf numFmtId="164" fontId="1" fillId="0" borderId="9" xfId="2" applyNumberFormat="1" applyBorder="1" applyAlignment="1">
      <alignment horizontal="center" vertical="center"/>
    </xf>
    <xf numFmtId="164" fontId="1" fillId="0" borderId="31" xfId="2" applyNumberFormat="1" applyBorder="1" applyAlignment="1">
      <alignment horizontal="center" vertical="center"/>
    </xf>
    <xf numFmtId="164" fontId="0" fillId="0" borderId="6" xfId="0" applyNumberFormat="1" applyBorder="1" applyAlignment="1">
      <alignment horizontal="center" vertical="center"/>
    </xf>
    <xf numFmtId="165" fontId="0" fillId="0" borderId="6" xfId="0" applyNumberFormat="1" applyBorder="1" applyAlignment="1">
      <alignment horizontal="center" vertical="center"/>
    </xf>
    <xf numFmtId="164" fontId="1" fillId="0" borderId="23" xfId="2" applyNumberFormat="1" applyBorder="1" applyAlignment="1">
      <alignment horizontal="center" vertical="center"/>
    </xf>
    <xf numFmtId="164" fontId="1" fillId="0" borderId="7" xfId="2" applyNumberFormat="1" applyBorder="1" applyAlignment="1">
      <alignment horizontal="center" vertical="center"/>
    </xf>
    <xf numFmtId="164" fontId="7" fillId="0" borderId="31" xfId="2" applyNumberFormat="1" applyFont="1" applyBorder="1" applyAlignment="1">
      <alignment horizontal="center" vertical="center"/>
    </xf>
    <xf numFmtId="164" fontId="1" fillId="3" borderId="22" xfId="2" applyNumberFormat="1" applyFill="1" applyBorder="1" applyAlignment="1">
      <alignment horizontal="center" vertical="center"/>
    </xf>
    <xf numFmtId="164" fontId="1" fillId="3" borderId="31" xfId="2" applyNumberFormat="1" applyFill="1" applyBorder="1" applyAlignment="1">
      <alignment horizontal="center" vertical="center"/>
    </xf>
    <xf numFmtId="164" fontId="1" fillId="3" borderId="23" xfId="2" applyNumberFormat="1" applyFill="1" applyBorder="1" applyAlignment="1">
      <alignment horizontal="center" vertical="center"/>
    </xf>
    <xf numFmtId="164" fontId="1" fillId="3" borderId="7" xfId="2" applyNumberFormat="1" applyFill="1" applyBorder="1" applyAlignment="1">
      <alignment horizontal="center" vertical="center"/>
    </xf>
    <xf numFmtId="164" fontId="1" fillId="3" borderId="9" xfId="2" applyNumberFormat="1" applyFill="1" applyBorder="1" applyAlignment="1">
      <alignment horizontal="center" vertical="center"/>
    </xf>
    <xf numFmtId="164" fontId="6" fillId="0" borderId="6" xfId="0" applyNumberFormat="1" applyFont="1" applyBorder="1" applyAlignment="1">
      <alignment horizontal="center" vertical="center"/>
    </xf>
    <xf numFmtId="164" fontId="2" fillId="3" borderId="6" xfId="0" applyNumberFormat="1" applyFont="1" applyFill="1" applyBorder="1" applyAlignment="1">
      <alignment horizontal="center" vertical="center"/>
    </xf>
    <xf numFmtId="0" fontId="2" fillId="4" borderId="6" xfId="2" applyFont="1" applyFill="1" applyBorder="1" applyAlignment="1">
      <alignment horizontal="center"/>
    </xf>
    <xf numFmtId="164" fontId="1" fillId="4" borderId="6" xfId="2" applyNumberFormat="1" applyFill="1" applyBorder="1" applyAlignment="1">
      <alignment horizontal="center"/>
    </xf>
    <xf numFmtId="164" fontId="2" fillId="4" borderId="6" xfId="2" applyNumberFormat="1" applyFont="1" applyFill="1" applyBorder="1" applyAlignment="1">
      <alignment horizontal="center"/>
    </xf>
    <xf numFmtId="165" fontId="1" fillId="0" borderId="6" xfId="2" applyNumberFormat="1" applyBorder="1" applyAlignment="1">
      <alignment horizontal="center" vertical="center"/>
    </xf>
    <xf numFmtId="164" fontId="1" fillId="0" borderId="6" xfId="0" applyNumberFormat="1" applyFont="1" applyBorder="1" applyAlignment="1">
      <alignment horizontal="center" vertical="center"/>
    </xf>
    <xf numFmtId="165" fontId="2" fillId="0" borderId="6" xfId="0" applyNumberFormat="1" applyFont="1" applyBorder="1" applyAlignment="1">
      <alignment horizontal="center" vertical="center"/>
    </xf>
    <xf numFmtId="165" fontId="0" fillId="2" borderId="6" xfId="0" applyNumberFormat="1" applyFill="1" applyBorder="1" applyAlignment="1">
      <alignment horizontal="center" vertical="center"/>
    </xf>
    <xf numFmtId="164" fontId="1" fillId="2" borderId="6" xfId="2" applyNumberFormat="1" applyFill="1" applyBorder="1" applyAlignment="1">
      <alignment horizontal="center" vertical="center"/>
    </xf>
    <xf numFmtId="9" fontId="2" fillId="3" borderId="30" xfId="3" applyFont="1" applyFill="1" applyBorder="1" applyAlignment="1">
      <alignment horizontal="center" vertical="center"/>
    </xf>
    <xf numFmtId="0" fontId="5" fillId="3" borderId="10" xfId="2" applyFont="1" applyFill="1" applyBorder="1" applyAlignment="1">
      <alignment horizontal="center" vertical="center"/>
    </xf>
    <xf numFmtId="0" fontId="5" fillId="3" borderId="11" xfId="2" applyFont="1" applyFill="1" applyBorder="1" applyAlignment="1">
      <alignment horizontal="center" vertical="center"/>
    </xf>
    <xf numFmtId="0" fontId="5" fillId="3" borderId="12" xfId="2" applyFont="1" applyFill="1" applyBorder="1" applyAlignment="1">
      <alignment horizontal="center" vertical="center"/>
    </xf>
    <xf numFmtId="3" fontId="5" fillId="3" borderId="10" xfId="2" applyNumberFormat="1" applyFont="1" applyFill="1" applyBorder="1" applyAlignment="1">
      <alignment horizontal="center" vertical="center"/>
    </xf>
    <xf numFmtId="3" fontId="5" fillId="3" borderId="11" xfId="2" applyNumberFormat="1" applyFont="1" applyFill="1" applyBorder="1" applyAlignment="1">
      <alignment horizontal="center" vertical="center"/>
    </xf>
    <xf numFmtId="0" fontId="2" fillId="3" borderId="36" xfId="2" applyFont="1" applyFill="1" applyBorder="1" applyAlignment="1">
      <alignment horizontal="center" vertical="center"/>
    </xf>
    <xf numFmtId="0" fontId="2" fillId="3" borderId="37" xfId="2" applyFont="1" applyFill="1" applyBorder="1" applyAlignment="1">
      <alignment horizontal="center" vertical="center"/>
    </xf>
    <xf numFmtId="0" fontId="2" fillId="3" borderId="34" xfId="2" applyFont="1" applyFill="1" applyBorder="1" applyAlignment="1">
      <alignment horizontal="center" vertical="center"/>
    </xf>
    <xf numFmtId="0" fontId="2" fillId="3" borderId="35" xfId="2" applyFont="1" applyFill="1" applyBorder="1" applyAlignment="1">
      <alignment horizontal="center" vertical="center"/>
    </xf>
    <xf numFmtId="0" fontId="2" fillId="0" borderId="13" xfId="2" applyFont="1" applyBorder="1" applyAlignment="1">
      <alignment horizontal="left"/>
    </xf>
    <xf numFmtId="3" fontId="5" fillId="3" borderId="12" xfId="2" applyNumberFormat="1" applyFont="1" applyFill="1" applyBorder="1" applyAlignment="1">
      <alignment horizontal="center" vertical="center"/>
    </xf>
    <xf numFmtId="0" fontId="1" fillId="3" borderId="11" xfId="2" applyFill="1" applyBorder="1" applyAlignment="1">
      <alignment horizontal="center" vertical="center"/>
    </xf>
    <xf numFmtId="0" fontId="2" fillId="3" borderId="38" xfId="2" applyFont="1" applyFill="1" applyBorder="1" applyAlignment="1">
      <alignment horizontal="center" vertical="center"/>
    </xf>
    <xf numFmtId="0" fontId="2" fillId="3" borderId="39" xfId="2" applyFont="1" applyFill="1" applyBorder="1" applyAlignment="1">
      <alignment horizontal="center" vertical="center"/>
    </xf>
    <xf numFmtId="0" fontId="2" fillId="3" borderId="10" xfId="2" applyFont="1" applyFill="1" applyBorder="1" applyAlignment="1">
      <alignment horizontal="center"/>
    </xf>
    <xf numFmtId="0" fontId="2" fillId="3" borderId="12" xfId="2" applyFont="1" applyFill="1" applyBorder="1" applyAlignment="1">
      <alignment horizontal="center"/>
    </xf>
    <xf numFmtId="0" fontId="0" fillId="0" borderId="7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3" fontId="2" fillId="3" borderId="14" xfId="2" applyNumberFormat="1" applyFont="1" applyFill="1" applyBorder="1" applyAlignment="1">
      <alignment horizontal="center"/>
    </xf>
    <xf numFmtId="3" fontId="2" fillId="3" borderId="15" xfId="2" applyNumberFormat="1" applyFont="1" applyFill="1" applyBorder="1" applyAlignment="1">
      <alignment horizontal="center"/>
    </xf>
    <xf numFmtId="3" fontId="2" fillId="3" borderId="16" xfId="2" applyNumberFormat="1" applyFont="1" applyFill="1" applyBorder="1" applyAlignment="1">
      <alignment horizontal="center"/>
    </xf>
    <xf numFmtId="3" fontId="2" fillId="3" borderId="17" xfId="2" applyNumberFormat="1" applyFont="1" applyFill="1" applyBorder="1" applyAlignment="1">
      <alignment horizontal="center"/>
    </xf>
    <xf numFmtId="3" fontId="2" fillId="3" borderId="43" xfId="2" applyNumberFormat="1" applyFont="1" applyFill="1" applyBorder="1" applyAlignment="1">
      <alignment horizontal="center"/>
    </xf>
    <xf numFmtId="3" fontId="2" fillId="3" borderId="29" xfId="2" applyNumberFormat="1" applyFont="1" applyFill="1" applyBorder="1" applyAlignment="1">
      <alignment horizontal="center"/>
    </xf>
    <xf numFmtId="0" fontId="1" fillId="3" borderId="17" xfId="2" applyFill="1" applyBorder="1" applyAlignment="1">
      <alignment horizontal="center"/>
    </xf>
    <xf numFmtId="0" fontId="2" fillId="3" borderId="14" xfId="2" applyFont="1" applyFill="1" applyBorder="1" applyAlignment="1">
      <alignment horizontal="center"/>
    </xf>
    <xf numFmtId="0" fontId="2" fillId="3" borderId="15" xfId="2" applyFont="1" applyFill="1" applyBorder="1" applyAlignment="1">
      <alignment horizontal="center"/>
    </xf>
    <xf numFmtId="0" fontId="2" fillId="3" borderId="29" xfId="2" applyFont="1" applyFill="1" applyBorder="1" applyAlignment="1">
      <alignment horizontal="center"/>
    </xf>
    <xf numFmtId="0" fontId="2" fillId="3" borderId="6" xfId="2" applyFont="1" applyFill="1" applyBorder="1" applyAlignment="1">
      <alignment horizontal="center" vertical="center"/>
    </xf>
    <xf numFmtId="0" fontId="2" fillId="0" borderId="0" xfId="2" applyFont="1" applyAlignment="1">
      <alignment horizontal="left"/>
    </xf>
    <xf numFmtId="3" fontId="2" fillId="3" borderId="3" xfId="2" applyNumberFormat="1" applyFont="1" applyFill="1" applyBorder="1" applyAlignment="1">
      <alignment horizontal="center"/>
    </xf>
    <xf numFmtId="3" fontId="2" fillId="3" borderId="5" xfId="2" applyNumberFormat="1" applyFont="1" applyFill="1" applyBorder="1" applyAlignment="1">
      <alignment horizontal="center"/>
    </xf>
    <xf numFmtId="3" fontId="2" fillId="3" borderId="4" xfId="2" applyNumberFormat="1" applyFont="1" applyFill="1" applyBorder="1" applyAlignment="1">
      <alignment horizontal="center"/>
    </xf>
    <xf numFmtId="0" fontId="1" fillId="0" borderId="0" xfId="2" applyAlignment="1">
      <alignment horizontal="center" wrapText="1"/>
    </xf>
    <xf numFmtId="0" fontId="2" fillId="3" borderId="3" xfId="2" applyFont="1" applyFill="1" applyBorder="1" applyAlignment="1">
      <alignment horizontal="center"/>
    </xf>
    <xf numFmtId="0" fontId="2" fillId="3" borderId="5" xfId="2" applyFont="1" applyFill="1" applyBorder="1" applyAlignment="1">
      <alignment horizontal="center"/>
    </xf>
    <xf numFmtId="0" fontId="2" fillId="3" borderId="4" xfId="2" applyFont="1" applyFill="1" applyBorder="1" applyAlignment="1">
      <alignment horizontal="center"/>
    </xf>
    <xf numFmtId="3" fontId="2" fillId="3" borderId="36" xfId="2" applyNumberFormat="1" applyFont="1" applyFill="1" applyBorder="1" applyAlignment="1">
      <alignment horizontal="center"/>
    </xf>
    <xf numFmtId="0" fontId="1" fillId="3" borderId="37" xfId="2" applyFill="1" applyBorder="1" applyAlignment="1">
      <alignment horizontal="center"/>
    </xf>
    <xf numFmtId="0" fontId="2" fillId="3" borderId="7" xfId="2" applyFont="1" applyFill="1" applyBorder="1" applyAlignment="1">
      <alignment horizontal="center" vertical="center"/>
    </xf>
    <xf numFmtId="0" fontId="2" fillId="3" borderId="6" xfId="2" applyFont="1" applyFill="1" applyBorder="1" applyAlignment="1">
      <alignment horizontal="center"/>
    </xf>
    <xf numFmtId="3" fontId="2" fillId="3" borderId="10" xfId="2" applyNumberFormat="1" applyFont="1" applyFill="1" applyBorder="1" applyAlignment="1">
      <alignment horizontal="center"/>
    </xf>
    <xf numFmtId="3" fontId="2" fillId="3" borderId="11" xfId="2" applyNumberFormat="1" applyFont="1" applyFill="1" applyBorder="1" applyAlignment="1">
      <alignment horizontal="center"/>
    </xf>
    <xf numFmtId="0" fontId="2" fillId="3" borderId="38" xfId="2" applyFont="1" applyFill="1" applyBorder="1" applyAlignment="1">
      <alignment horizontal="center"/>
    </xf>
    <xf numFmtId="0" fontId="2" fillId="3" borderId="13" xfId="2" applyFont="1" applyFill="1" applyBorder="1" applyAlignment="1">
      <alignment horizontal="center"/>
    </xf>
    <xf numFmtId="3" fontId="2" fillId="3" borderId="37" xfId="2" applyNumberFormat="1" applyFont="1" applyFill="1" applyBorder="1" applyAlignment="1">
      <alignment horizontal="center"/>
    </xf>
    <xf numFmtId="3" fontId="1" fillId="0" borderId="44" xfId="2" applyNumberFormat="1" applyBorder="1" applyAlignment="1">
      <alignment horizontal="center" vertical="center"/>
    </xf>
    <xf numFmtId="3" fontId="1" fillId="0" borderId="45" xfId="2" applyNumberFormat="1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40" xfId="0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40" xfId="0" applyFont="1" applyFill="1" applyBorder="1" applyAlignment="1">
      <alignment horizontal="center" vertical="center"/>
    </xf>
    <xf numFmtId="0" fontId="1" fillId="0" borderId="7" xfId="2" applyBorder="1" applyAlignment="1">
      <alignment horizontal="center" vertical="center"/>
    </xf>
    <xf numFmtId="0" fontId="1" fillId="0" borderId="40" xfId="2" applyBorder="1" applyAlignment="1">
      <alignment horizontal="center" vertical="center"/>
    </xf>
    <xf numFmtId="0" fontId="2" fillId="3" borderId="4" xfId="2" applyFont="1" applyFill="1" applyBorder="1" applyAlignment="1">
      <alignment horizontal="center" vertical="center"/>
    </xf>
    <xf numFmtId="0" fontId="2" fillId="3" borderId="48" xfId="2" applyFont="1" applyFill="1" applyBorder="1" applyAlignment="1">
      <alignment horizontal="center" vertical="center"/>
    </xf>
    <xf numFmtId="0" fontId="2" fillId="3" borderId="31" xfId="2" applyFont="1" applyFill="1" applyBorder="1" applyAlignment="1">
      <alignment horizontal="center" vertical="center"/>
    </xf>
    <xf numFmtId="0" fontId="2" fillId="3" borderId="46" xfId="2" applyFont="1" applyFill="1" applyBorder="1" applyAlignment="1">
      <alignment horizontal="center" vertical="center"/>
    </xf>
    <xf numFmtId="0" fontId="1" fillId="0" borderId="7" xfId="2" applyBorder="1" applyAlignment="1">
      <alignment horizontal="center"/>
    </xf>
    <xf numFmtId="0" fontId="1" fillId="0" borderId="40" xfId="2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40" xfId="0" applyBorder="1" applyAlignment="1">
      <alignment horizontal="center"/>
    </xf>
    <xf numFmtId="0" fontId="1" fillId="0" borderId="29" xfId="2" applyBorder="1" applyAlignment="1">
      <alignment horizontal="center"/>
    </xf>
    <xf numFmtId="0" fontId="1" fillId="0" borderId="47" xfId="2" applyBorder="1" applyAlignment="1">
      <alignment horizontal="center"/>
    </xf>
    <xf numFmtId="0" fontId="1" fillId="0" borderId="16" xfId="2" applyBorder="1" applyAlignment="1">
      <alignment horizontal="center"/>
    </xf>
    <xf numFmtId="0" fontId="1" fillId="0" borderId="24" xfId="2" applyBorder="1" applyAlignment="1">
      <alignment horizontal="center"/>
    </xf>
    <xf numFmtId="0" fontId="1" fillId="0" borderId="25" xfId="2" applyBorder="1" applyAlignment="1">
      <alignment horizontal="center"/>
    </xf>
    <xf numFmtId="0" fontId="1" fillId="0" borderId="17" xfId="2" applyBorder="1" applyAlignment="1">
      <alignment horizontal="center"/>
    </xf>
    <xf numFmtId="0" fontId="1" fillId="3" borderId="7" xfId="2" applyFill="1" applyBorder="1" applyAlignment="1">
      <alignment horizontal="center"/>
    </xf>
    <xf numFmtId="0" fontId="1" fillId="3" borderId="40" xfId="2" applyFill="1" applyBorder="1" applyAlignment="1">
      <alignment horizontal="center"/>
    </xf>
    <xf numFmtId="0" fontId="0" fillId="0" borderId="7" xfId="0" applyBorder="1"/>
    <xf numFmtId="0" fontId="0" fillId="0" borderId="40" xfId="0" applyBorder="1"/>
    <xf numFmtId="3" fontId="1" fillId="0" borderId="7" xfId="2" applyNumberFormat="1" applyBorder="1" applyAlignment="1">
      <alignment horizontal="center" vertical="center"/>
    </xf>
    <xf numFmtId="3" fontId="1" fillId="0" borderId="40" xfId="2" applyNumberForma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40" xfId="0" applyFont="1" applyBorder="1" applyAlignment="1">
      <alignment horizontal="center" vertical="center"/>
    </xf>
  </cellXfs>
  <cellStyles count="4">
    <cellStyle name="Normal" xfId="0" builtinId="0"/>
    <cellStyle name="Normal 2" xfId="1" xr:uid="{2CE5977D-5C6A-4B47-A20D-6958AEEE4E61}"/>
    <cellStyle name="Normal 3" xfId="2" xr:uid="{1E624FDE-2612-45DF-A0A5-C314D8E617F0}"/>
    <cellStyle name="Percent" xfId="3" builtinId="5"/>
  </cellStyles>
  <dxfs count="0"/>
  <tableStyles count="0" defaultTableStyle="TableStyleMedium2" defaultPivotStyle="PivotStyleLight16"/>
  <colors>
    <mruColors>
      <color rgb="FFFF7C80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81010F-743F-4032-A69F-52E7E3996D54}">
  <sheetPr>
    <tabColor rgb="FF7030A0"/>
  </sheetPr>
  <dimension ref="A1:BU158"/>
  <sheetViews>
    <sheetView tabSelected="1" topLeftCell="AZ1" zoomScale="91" zoomScaleNormal="91" workbookViewId="0">
      <selection activeCell="BL68" sqref="BL68"/>
    </sheetView>
  </sheetViews>
  <sheetFormatPr defaultRowHeight="15" x14ac:dyDescent="0.25"/>
  <cols>
    <col min="1" max="1" width="25.7109375" customWidth="1"/>
    <col min="2" max="2" width="58.5703125" customWidth="1"/>
    <col min="3" max="3" width="19.5703125" customWidth="1"/>
    <col min="4" max="4" width="15.42578125" customWidth="1"/>
    <col min="5" max="5" width="20.5703125" customWidth="1"/>
    <col min="6" max="6" width="16" customWidth="1"/>
    <col min="7" max="7" width="23.5703125" customWidth="1"/>
    <col min="8" max="8" width="13.7109375" customWidth="1"/>
    <col min="9" max="9" width="22.7109375" customWidth="1"/>
    <col min="10" max="10" width="18.140625" customWidth="1"/>
    <col min="11" max="11" width="15.5703125" customWidth="1"/>
    <col min="12" max="12" width="17" customWidth="1"/>
    <col min="13" max="13" width="22.42578125" customWidth="1"/>
    <col min="14" max="14" width="18.5703125" customWidth="1"/>
    <col min="15" max="15" width="21" customWidth="1"/>
    <col min="16" max="16" width="14.140625" customWidth="1"/>
    <col min="17" max="17" width="14.7109375" customWidth="1"/>
    <col min="18" max="18" width="12.28515625" customWidth="1"/>
    <col min="19" max="19" width="21.85546875" customWidth="1"/>
    <col min="20" max="20" width="13.85546875" customWidth="1"/>
    <col min="21" max="21" width="21.5703125" customWidth="1"/>
    <col min="22" max="22" width="22" customWidth="1"/>
    <col min="23" max="23" width="22.140625" customWidth="1"/>
    <col min="24" max="24" width="24.42578125" customWidth="1"/>
    <col min="25" max="25" width="22.5703125" customWidth="1"/>
    <col min="26" max="26" width="14.42578125" customWidth="1"/>
    <col min="27" max="27" width="22.140625" customWidth="1"/>
    <col min="28" max="28" width="19.140625" customWidth="1"/>
    <col min="29" max="29" width="24" customWidth="1"/>
    <col min="30" max="30" width="16.140625" customWidth="1"/>
    <col min="31" max="31" width="16" customWidth="1"/>
    <col min="32" max="32" width="15" customWidth="1"/>
    <col min="33" max="33" width="20.7109375" customWidth="1"/>
    <col min="34" max="34" width="19.85546875" customWidth="1"/>
    <col min="35" max="35" width="20.7109375" customWidth="1"/>
    <col min="36" max="36" width="16" customWidth="1"/>
    <col min="37" max="37" width="20.140625" customWidth="1"/>
    <col min="38" max="38" width="17" customWidth="1"/>
    <col min="39" max="39" width="20" customWidth="1"/>
    <col min="40" max="40" width="13.42578125" customWidth="1"/>
    <col min="41" max="41" width="18.5703125" customWidth="1"/>
    <col min="42" max="42" width="16.5703125" customWidth="1"/>
    <col min="43" max="43" width="21.7109375" customWidth="1"/>
    <col min="44" max="44" width="14" customWidth="1"/>
    <col min="45" max="45" width="21.42578125" customWidth="1"/>
    <col min="46" max="46" width="15.28515625" customWidth="1"/>
    <col min="47" max="47" width="21.7109375" customWidth="1"/>
    <col min="48" max="48" width="14.140625" customWidth="1"/>
    <col min="49" max="49" width="19.7109375" customWidth="1"/>
    <col min="50" max="50" width="21.42578125" customWidth="1"/>
    <col min="51" max="51" width="26.140625" customWidth="1"/>
    <col min="52" max="53" width="21.140625" customWidth="1"/>
    <col min="54" max="54" width="20.7109375" customWidth="1"/>
    <col min="55" max="55" width="19.5703125" customWidth="1"/>
    <col min="56" max="56" width="12.28515625" customWidth="1"/>
    <col min="57" max="57" width="14.140625" customWidth="1"/>
    <col min="58" max="58" width="12.85546875" customWidth="1"/>
    <col min="59" max="59" width="24.28515625" customWidth="1"/>
    <col min="60" max="60" width="15" customWidth="1"/>
    <col min="61" max="61" width="11" customWidth="1"/>
    <col min="62" max="62" width="12.5703125" customWidth="1"/>
    <col min="63" max="63" width="14" customWidth="1"/>
    <col min="64" max="64" width="20.5703125" customWidth="1"/>
    <col min="65" max="65" width="15.7109375" customWidth="1"/>
    <col min="66" max="66" width="17.28515625" customWidth="1"/>
    <col min="67" max="67" width="22.28515625" customWidth="1"/>
    <col min="68" max="68" width="15.42578125" customWidth="1"/>
    <col min="69" max="69" width="20.42578125" customWidth="1"/>
    <col min="70" max="70" width="18.7109375" customWidth="1"/>
    <col min="71" max="71" width="17.5703125" customWidth="1"/>
    <col min="72" max="72" width="14.42578125" customWidth="1"/>
    <col min="73" max="73" width="15.42578125" customWidth="1"/>
  </cols>
  <sheetData>
    <row r="1" spans="1:70" s="4" customFormat="1" ht="21.75" thickBot="1" x14ac:dyDescent="0.3">
      <c r="A1" s="85" t="s">
        <v>4</v>
      </c>
      <c r="B1" s="86"/>
      <c r="C1" s="85" t="s">
        <v>5</v>
      </c>
      <c r="D1" s="86"/>
      <c r="E1" s="85" t="s">
        <v>6</v>
      </c>
      <c r="F1" s="86"/>
      <c r="G1" s="85" t="s">
        <v>7</v>
      </c>
      <c r="H1" s="87"/>
      <c r="I1" s="88" t="s">
        <v>8</v>
      </c>
      <c r="J1" s="89"/>
      <c r="K1" s="88" t="s">
        <v>9</v>
      </c>
      <c r="L1" s="89"/>
      <c r="M1" s="88" t="s">
        <v>10</v>
      </c>
      <c r="N1" s="89"/>
      <c r="O1" s="88" t="s">
        <v>11</v>
      </c>
      <c r="P1" s="89"/>
      <c r="Q1" s="88" t="s">
        <v>12</v>
      </c>
      <c r="R1" s="96"/>
      <c r="S1" s="88" t="s">
        <v>13</v>
      </c>
      <c r="T1" s="89"/>
      <c r="U1" s="88" t="s">
        <v>14</v>
      </c>
      <c r="V1" s="89"/>
      <c r="W1" s="88" t="s">
        <v>15</v>
      </c>
      <c r="X1" s="89"/>
      <c r="Y1" s="88" t="s">
        <v>16</v>
      </c>
      <c r="Z1" s="89"/>
      <c r="AA1" s="88" t="s">
        <v>17</v>
      </c>
      <c r="AB1" s="89"/>
      <c r="AC1" s="88" t="s">
        <v>18</v>
      </c>
      <c r="AD1" s="89"/>
      <c r="AE1" s="88" t="s">
        <v>19</v>
      </c>
      <c r="AF1" s="89"/>
      <c r="AG1" s="88" t="s">
        <v>20</v>
      </c>
      <c r="AH1" s="89"/>
      <c r="AI1" s="88" t="s">
        <v>21</v>
      </c>
      <c r="AJ1" s="89"/>
      <c r="AK1" s="88" t="s">
        <v>22</v>
      </c>
      <c r="AL1" s="89"/>
      <c r="AM1" s="88" t="s">
        <v>23</v>
      </c>
      <c r="AN1" s="89"/>
      <c r="AO1" s="88" t="s">
        <v>24</v>
      </c>
      <c r="AP1" s="89"/>
      <c r="AQ1" s="88" t="s">
        <v>25</v>
      </c>
      <c r="AR1" s="95"/>
      <c r="AS1" s="88" t="s">
        <v>26</v>
      </c>
      <c r="AT1" s="89"/>
      <c r="AU1" s="88" t="s">
        <v>27</v>
      </c>
      <c r="AV1" s="89"/>
      <c r="AW1" s="88" t="s">
        <v>28</v>
      </c>
      <c r="AX1" s="89"/>
      <c r="AY1" s="88" t="s">
        <v>29</v>
      </c>
      <c r="AZ1" s="89"/>
      <c r="BA1" s="88" t="s">
        <v>30</v>
      </c>
      <c r="BB1" s="89"/>
      <c r="BC1" s="88" t="s">
        <v>31</v>
      </c>
      <c r="BD1" s="89"/>
      <c r="BE1" s="88" t="s">
        <v>32</v>
      </c>
      <c r="BF1" s="89"/>
      <c r="BG1" s="88" t="s">
        <v>33</v>
      </c>
      <c r="BH1" s="89"/>
      <c r="BI1" s="88" t="s">
        <v>34</v>
      </c>
      <c r="BJ1" s="89"/>
      <c r="BK1" s="88" t="s">
        <v>86</v>
      </c>
      <c r="BL1" s="89"/>
      <c r="BM1" s="88" t="s">
        <v>35</v>
      </c>
      <c r="BN1" s="89"/>
      <c r="BO1" s="88" t="s">
        <v>36</v>
      </c>
      <c r="BP1" s="89"/>
      <c r="BQ1" s="88" t="s">
        <v>37</v>
      </c>
      <c r="BR1" s="89"/>
    </row>
    <row r="2" spans="1:70" s="4" customFormat="1" ht="15.75" thickBot="1" x14ac:dyDescent="0.3">
      <c r="A2" s="94" t="s">
        <v>38</v>
      </c>
      <c r="B2" s="94"/>
      <c r="C2" s="94"/>
      <c r="D2" s="94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2"/>
      <c r="AP2" s="22"/>
      <c r="AR2" s="22"/>
      <c r="AS2" s="22"/>
      <c r="AT2" s="22"/>
      <c r="AU2" s="22"/>
      <c r="AV2" s="22"/>
      <c r="AW2" s="22"/>
      <c r="AX2" s="22"/>
      <c r="AY2" s="22"/>
      <c r="AZ2" s="22"/>
      <c r="BA2" s="22"/>
      <c r="BB2" s="22"/>
      <c r="BC2" s="22"/>
      <c r="BD2" s="22"/>
      <c r="BE2" s="22"/>
      <c r="BF2" s="22"/>
      <c r="BG2" s="22"/>
      <c r="BH2" s="22"/>
      <c r="BI2" s="22"/>
      <c r="BJ2" s="22"/>
      <c r="BK2" s="22"/>
      <c r="BL2" s="22"/>
      <c r="BM2" s="22"/>
      <c r="BN2" s="22"/>
      <c r="BO2" s="22"/>
      <c r="BP2" s="22"/>
      <c r="BQ2" s="22"/>
      <c r="BR2" s="22"/>
    </row>
    <row r="3" spans="1:70" s="4" customFormat="1" ht="26.25" customHeight="1" x14ac:dyDescent="0.25">
      <c r="A3" s="29"/>
      <c r="B3" s="30" t="s">
        <v>1</v>
      </c>
      <c r="C3" s="90" t="s">
        <v>5</v>
      </c>
      <c r="D3" s="91"/>
      <c r="E3" s="90" t="s">
        <v>6</v>
      </c>
      <c r="F3" s="91"/>
      <c r="G3" s="90" t="s">
        <v>7</v>
      </c>
      <c r="H3" s="91"/>
      <c r="I3" s="90" t="s">
        <v>8</v>
      </c>
      <c r="J3" s="91"/>
      <c r="K3" s="90" t="s">
        <v>9</v>
      </c>
      <c r="L3" s="91"/>
      <c r="M3" s="90" t="s">
        <v>10</v>
      </c>
      <c r="N3" s="91"/>
      <c r="O3" s="90" t="s">
        <v>11</v>
      </c>
      <c r="P3" s="91"/>
      <c r="Q3" s="90" t="s">
        <v>12</v>
      </c>
      <c r="R3" s="91"/>
      <c r="S3" s="90" t="s">
        <v>13</v>
      </c>
      <c r="T3" s="91"/>
      <c r="U3" s="90" t="s">
        <v>14</v>
      </c>
      <c r="V3" s="91"/>
      <c r="W3" s="90" t="s">
        <v>15</v>
      </c>
      <c r="X3" s="91"/>
      <c r="Y3" s="90" t="s">
        <v>16</v>
      </c>
      <c r="Z3" s="91"/>
      <c r="AA3" s="90" t="s">
        <v>17</v>
      </c>
      <c r="AB3" s="91"/>
      <c r="AC3" s="90" t="s">
        <v>18</v>
      </c>
      <c r="AD3" s="91"/>
      <c r="AE3" s="90" t="s">
        <v>19</v>
      </c>
      <c r="AF3" s="91"/>
      <c r="AG3" s="90" t="s">
        <v>20</v>
      </c>
      <c r="AH3" s="91"/>
      <c r="AI3" s="90" t="s">
        <v>21</v>
      </c>
      <c r="AJ3" s="91"/>
      <c r="AK3" s="90" t="s">
        <v>22</v>
      </c>
      <c r="AL3" s="91"/>
      <c r="AM3" s="90" t="s">
        <v>23</v>
      </c>
      <c r="AN3" s="91"/>
      <c r="AO3" s="90" t="s">
        <v>24</v>
      </c>
      <c r="AP3" s="91"/>
      <c r="AQ3" s="90" t="s">
        <v>25</v>
      </c>
      <c r="AR3" s="91"/>
      <c r="AS3" s="90" t="s">
        <v>26</v>
      </c>
      <c r="AT3" s="91"/>
      <c r="AU3" s="90" t="s">
        <v>27</v>
      </c>
      <c r="AV3" s="91"/>
      <c r="AW3" s="90" t="s">
        <v>28</v>
      </c>
      <c r="AX3" s="91"/>
      <c r="AY3" s="90" t="s">
        <v>29</v>
      </c>
      <c r="AZ3" s="91"/>
      <c r="BA3" s="90" t="s">
        <v>30</v>
      </c>
      <c r="BB3" s="91"/>
      <c r="BC3" s="90" t="s">
        <v>31</v>
      </c>
      <c r="BD3" s="91"/>
      <c r="BE3" s="90" t="s">
        <v>32</v>
      </c>
      <c r="BF3" s="91"/>
      <c r="BG3" s="90" t="s">
        <v>33</v>
      </c>
      <c r="BH3" s="91"/>
      <c r="BI3" s="90" t="s">
        <v>34</v>
      </c>
      <c r="BJ3" s="91"/>
      <c r="BK3" s="90" t="s">
        <v>86</v>
      </c>
      <c r="BL3" s="91"/>
      <c r="BM3" s="90" t="s">
        <v>35</v>
      </c>
      <c r="BN3" s="91"/>
      <c r="BO3" s="90" t="s">
        <v>36</v>
      </c>
      <c r="BP3" s="91"/>
      <c r="BQ3" s="90" t="s">
        <v>0</v>
      </c>
      <c r="BR3" s="91"/>
    </row>
    <row r="4" spans="1:70" s="4" customFormat="1" ht="22.5" customHeight="1" thickBot="1" x14ac:dyDescent="0.3">
      <c r="A4" s="31" t="s">
        <v>39</v>
      </c>
      <c r="B4" s="32" t="s">
        <v>40</v>
      </c>
      <c r="C4" s="92"/>
      <c r="D4" s="93"/>
      <c r="E4" s="92"/>
      <c r="F4" s="93"/>
      <c r="G4" s="92"/>
      <c r="H4" s="93"/>
      <c r="I4" s="92"/>
      <c r="J4" s="93"/>
      <c r="K4" s="92"/>
      <c r="L4" s="93"/>
      <c r="M4" s="92"/>
      <c r="N4" s="93"/>
      <c r="O4" s="92"/>
      <c r="P4" s="93"/>
      <c r="Q4" s="92"/>
      <c r="R4" s="93"/>
      <c r="S4" s="92"/>
      <c r="T4" s="93"/>
      <c r="U4" s="92"/>
      <c r="V4" s="93"/>
      <c r="W4" s="92"/>
      <c r="X4" s="93"/>
      <c r="Y4" s="92"/>
      <c r="Z4" s="93"/>
      <c r="AA4" s="92"/>
      <c r="AB4" s="93"/>
      <c r="AC4" s="92"/>
      <c r="AD4" s="93"/>
      <c r="AE4" s="92"/>
      <c r="AF4" s="93"/>
      <c r="AG4" s="92"/>
      <c r="AH4" s="93"/>
      <c r="AI4" s="92"/>
      <c r="AJ4" s="93"/>
      <c r="AK4" s="92"/>
      <c r="AL4" s="93"/>
      <c r="AM4" s="92"/>
      <c r="AN4" s="93"/>
      <c r="AO4" s="92"/>
      <c r="AP4" s="93"/>
      <c r="AQ4" s="92"/>
      <c r="AR4" s="93"/>
      <c r="AS4" s="92"/>
      <c r="AT4" s="93"/>
      <c r="AU4" s="92"/>
      <c r="AV4" s="93"/>
      <c r="AW4" s="92"/>
      <c r="AX4" s="93"/>
      <c r="AY4" s="92"/>
      <c r="AZ4" s="93"/>
      <c r="BA4" s="92"/>
      <c r="BB4" s="93"/>
      <c r="BC4" s="92"/>
      <c r="BD4" s="93"/>
      <c r="BE4" s="97"/>
      <c r="BF4" s="98"/>
      <c r="BG4" s="92"/>
      <c r="BH4" s="93"/>
      <c r="BI4" s="97"/>
      <c r="BJ4" s="98"/>
      <c r="BK4" s="97"/>
      <c r="BL4" s="98"/>
      <c r="BM4" s="92"/>
      <c r="BN4" s="93"/>
      <c r="BO4" s="92"/>
      <c r="BP4" s="93"/>
      <c r="BQ4" s="92"/>
      <c r="BR4" s="93"/>
    </row>
    <row r="5" spans="1:70" s="4" customFormat="1" ht="22.5" customHeight="1" x14ac:dyDescent="0.25">
      <c r="A5" s="33" t="s">
        <v>43</v>
      </c>
      <c r="B5" s="34" t="s">
        <v>47</v>
      </c>
      <c r="C5" s="139"/>
      <c r="D5" s="140"/>
      <c r="E5" s="139"/>
      <c r="F5" s="140"/>
      <c r="G5" s="145"/>
      <c r="H5" s="146"/>
      <c r="I5" s="145"/>
      <c r="J5" s="146"/>
      <c r="K5" s="145"/>
      <c r="L5" s="146"/>
      <c r="M5" s="145"/>
      <c r="N5" s="146"/>
      <c r="O5" s="145"/>
      <c r="P5" s="146"/>
      <c r="Q5" s="145"/>
      <c r="R5" s="146"/>
      <c r="S5" s="145"/>
      <c r="T5" s="146"/>
      <c r="U5" s="145"/>
      <c r="V5" s="146"/>
      <c r="W5" s="147"/>
      <c r="X5" s="148"/>
      <c r="Y5" s="145"/>
      <c r="Z5" s="146"/>
      <c r="AA5" s="145"/>
      <c r="AB5" s="146"/>
      <c r="AC5" s="145"/>
      <c r="AD5" s="146"/>
      <c r="AE5" s="145"/>
      <c r="AF5" s="146"/>
      <c r="AG5" s="145"/>
      <c r="AH5" s="146"/>
      <c r="AI5" s="145"/>
      <c r="AJ5" s="146"/>
      <c r="AK5" s="145"/>
      <c r="AL5" s="146"/>
      <c r="AM5" s="145"/>
      <c r="AN5" s="146"/>
      <c r="AO5" s="145"/>
      <c r="AP5" s="146"/>
      <c r="AQ5" s="145"/>
      <c r="AR5" s="146"/>
      <c r="AS5" s="145"/>
      <c r="AT5" s="146"/>
      <c r="AU5" s="145"/>
      <c r="AV5" s="146"/>
      <c r="AW5" s="145"/>
      <c r="AX5" s="146"/>
      <c r="AY5" s="145"/>
      <c r="AZ5" s="146"/>
      <c r="BA5" s="145"/>
      <c r="BB5" s="146"/>
      <c r="BC5" s="145"/>
      <c r="BD5" s="146"/>
      <c r="BE5" s="149"/>
      <c r="BF5" s="150"/>
      <c r="BG5" s="145"/>
      <c r="BH5" s="146"/>
      <c r="BI5" s="149"/>
      <c r="BJ5" s="154"/>
      <c r="BK5" s="151"/>
      <c r="BL5" s="150"/>
      <c r="BM5" s="145"/>
      <c r="BN5" s="146"/>
      <c r="BO5" s="145"/>
      <c r="BP5" s="146"/>
      <c r="BQ5" s="145">
        <f>SUM(C5:BP5)</f>
        <v>0</v>
      </c>
      <c r="BR5" s="146"/>
    </row>
    <row r="6" spans="1:70" s="4" customFormat="1" ht="16.5" customHeight="1" x14ac:dyDescent="0.25">
      <c r="A6" s="33"/>
      <c r="B6" s="34" t="s">
        <v>48</v>
      </c>
      <c r="C6" s="101"/>
      <c r="D6" s="102"/>
      <c r="E6" s="101"/>
      <c r="F6" s="102"/>
      <c r="G6" s="147"/>
      <c r="H6" s="148"/>
      <c r="I6" s="147"/>
      <c r="J6" s="148"/>
      <c r="K6" s="147"/>
      <c r="L6" s="148"/>
      <c r="M6" s="147"/>
      <c r="N6" s="148"/>
      <c r="O6" s="147"/>
      <c r="P6" s="148"/>
      <c r="Q6" s="145"/>
      <c r="R6" s="146"/>
      <c r="S6" s="147"/>
      <c r="T6" s="148"/>
      <c r="U6" s="147"/>
      <c r="V6" s="148"/>
      <c r="W6" s="147"/>
      <c r="X6" s="148"/>
      <c r="Y6" s="147">
        <f>6+6</f>
        <v>12</v>
      </c>
      <c r="Z6" s="148"/>
      <c r="AA6" s="147"/>
      <c r="AB6" s="148"/>
      <c r="AC6" s="147">
        <f>90+3+1</f>
        <v>94</v>
      </c>
      <c r="AD6" s="148"/>
      <c r="AE6" s="147"/>
      <c r="AF6" s="148"/>
      <c r="AG6" s="147"/>
      <c r="AH6" s="148"/>
      <c r="AI6" s="147"/>
      <c r="AJ6" s="148"/>
      <c r="AK6" s="147"/>
      <c r="AL6" s="148"/>
      <c r="AM6" s="147"/>
      <c r="AN6" s="148"/>
      <c r="AO6" s="147"/>
      <c r="AP6" s="148"/>
      <c r="AQ6" s="147"/>
      <c r="AR6" s="148"/>
      <c r="AS6" s="147"/>
      <c r="AT6" s="148"/>
      <c r="AU6" s="147"/>
      <c r="AV6" s="148"/>
      <c r="AW6" s="147"/>
      <c r="AX6" s="148"/>
      <c r="AY6" s="147">
        <v>28</v>
      </c>
      <c r="AZ6" s="148"/>
      <c r="BA6" s="147">
        <v>133</v>
      </c>
      <c r="BB6" s="148"/>
      <c r="BC6" s="147"/>
      <c r="BD6" s="148"/>
      <c r="BE6" s="145"/>
      <c r="BF6" s="146"/>
      <c r="BG6" s="147"/>
      <c r="BH6" s="148"/>
      <c r="BI6" s="145"/>
      <c r="BJ6" s="153"/>
      <c r="BK6" s="152"/>
      <c r="BL6" s="146"/>
      <c r="BM6" s="147"/>
      <c r="BN6" s="148"/>
      <c r="BO6" s="147"/>
      <c r="BP6" s="148"/>
      <c r="BQ6" s="145">
        <f t="shared" ref="BQ6:BQ21" si="0">SUM(C6:BP6)</f>
        <v>267</v>
      </c>
      <c r="BR6" s="146"/>
    </row>
    <row r="7" spans="1:70" s="4" customFormat="1" ht="16.5" customHeight="1" x14ac:dyDescent="0.25">
      <c r="A7" s="33"/>
      <c r="B7" s="34" t="s">
        <v>49</v>
      </c>
      <c r="C7" s="101"/>
      <c r="D7" s="102"/>
      <c r="E7" s="101"/>
      <c r="F7" s="102"/>
      <c r="G7" s="147"/>
      <c r="H7" s="148"/>
      <c r="I7" s="147">
        <v>14</v>
      </c>
      <c r="J7" s="148"/>
      <c r="K7" s="147"/>
      <c r="L7" s="148"/>
      <c r="M7" s="147">
        <f>75+2</f>
        <v>77</v>
      </c>
      <c r="N7" s="148"/>
      <c r="O7" s="147"/>
      <c r="P7" s="148"/>
      <c r="Q7" s="147"/>
      <c r="R7" s="148"/>
      <c r="S7" s="147"/>
      <c r="T7" s="148"/>
      <c r="U7" s="147"/>
      <c r="V7" s="148"/>
      <c r="W7" s="147">
        <f>18+2</f>
        <v>20</v>
      </c>
      <c r="X7" s="148"/>
      <c r="Y7" s="147"/>
      <c r="Z7" s="148"/>
      <c r="AA7" s="147">
        <f>9+8</f>
        <v>17</v>
      </c>
      <c r="AB7" s="148"/>
      <c r="AC7" s="147">
        <f>508+6</f>
        <v>514</v>
      </c>
      <c r="AD7" s="148"/>
      <c r="AE7" s="147">
        <v>39</v>
      </c>
      <c r="AF7" s="148"/>
      <c r="AG7" s="147">
        <v>62</v>
      </c>
      <c r="AH7" s="148"/>
      <c r="AI7" s="147"/>
      <c r="AJ7" s="148"/>
      <c r="AK7" s="147"/>
      <c r="AL7" s="148"/>
      <c r="AM7" s="147"/>
      <c r="AN7" s="148"/>
      <c r="AO7" s="147"/>
      <c r="AP7" s="148"/>
      <c r="AQ7" s="147">
        <f>7+7</f>
        <v>14</v>
      </c>
      <c r="AR7" s="148"/>
      <c r="AS7" s="147"/>
      <c r="AT7" s="148"/>
      <c r="AU7" s="147"/>
      <c r="AV7" s="148"/>
      <c r="AW7" s="147"/>
      <c r="AX7" s="148"/>
      <c r="AY7" s="147"/>
      <c r="AZ7" s="148"/>
      <c r="BA7" s="147"/>
      <c r="BB7" s="148"/>
      <c r="BC7" s="147"/>
      <c r="BD7" s="148"/>
      <c r="BE7" s="145"/>
      <c r="BF7" s="146"/>
      <c r="BG7" s="147">
        <v>65</v>
      </c>
      <c r="BH7" s="148"/>
      <c r="BI7" s="145"/>
      <c r="BJ7" s="153"/>
      <c r="BK7" s="152"/>
      <c r="BL7" s="146"/>
      <c r="BM7" s="147"/>
      <c r="BN7" s="148"/>
      <c r="BO7" s="147"/>
      <c r="BP7" s="148"/>
      <c r="BQ7" s="145">
        <f t="shared" si="0"/>
        <v>822</v>
      </c>
      <c r="BR7" s="146"/>
    </row>
    <row r="8" spans="1:70" s="4" customFormat="1" ht="16.5" customHeight="1" x14ac:dyDescent="0.25">
      <c r="A8" s="33"/>
      <c r="B8" s="34" t="s">
        <v>50</v>
      </c>
      <c r="C8" s="101"/>
      <c r="D8" s="102"/>
      <c r="E8" s="101"/>
      <c r="F8" s="102"/>
      <c r="G8" s="147">
        <v>566</v>
      </c>
      <c r="H8" s="148"/>
      <c r="I8" s="147">
        <v>384</v>
      </c>
      <c r="J8" s="148"/>
      <c r="K8" s="147">
        <v>33</v>
      </c>
      <c r="L8" s="148"/>
      <c r="M8" s="147">
        <f>436+5</f>
        <v>441</v>
      </c>
      <c r="N8" s="148"/>
      <c r="O8" s="147"/>
      <c r="P8" s="148"/>
      <c r="Q8" s="147"/>
      <c r="R8" s="148"/>
      <c r="S8" s="147"/>
      <c r="T8" s="148"/>
      <c r="U8" s="147"/>
      <c r="V8" s="148"/>
      <c r="W8" s="147"/>
      <c r="X8" s="148"/>
      <c r="Y8" s="147"/>
      <c r="Z8" s="148"/>
      <c r="AA8" s="147">
        <v>15</v>
      </c>
      <c r="AB8" s="148"/>
      <c r="AC8" s="147"/>
      <c r="AD8" s="148"/>
      <c r="AE8" s="147"/>
      <c r="AF8" s="148"/>
      <c r="AG8" s="147"/>
      <c r="AH8" s="148"/>
      <c r="AI8" s="147"/>
      <c r="AJ8" s="148"/>
      <c r="AK8" s="147"/>
      <c r="AL8" s="148"/>
      <c r="AM8" s="147"/>
      <c r="AN8" s="148"/>
      <c r="AO8" s="147"/>
      <c r="AP8" s="148"/>
      <c r="AQ8" s="147">
        <f>65+2+3</f>
        <v>70</v>
      </c>
      <c r="AR8" s="148"/>
      <c r="AS8" s="147"/>
      <c r="AT8" s="148"/>
      <c r="AU8" s="147"/>
      <c r="AV8" s="148"/>
      <c r="AW8" s="147"/>
      <c r="AX8" s="148"/>
      <c r="AY8" s="147"/>
      <c r="AZ8" s="148"/>
      <c r="BA8" s="147"/>
      <c r="BB8" s="148"/>
      <c r="BC8" s="147"/>
      <c r="BD8" s="148"/>
      <c r="BE8" s="145"/>
      <c r="BF8" s="146"/>
      <c r="BG8" s="147">
        <f>62+5+6</f>
        <v>73</v>
      </c>
      <c r="BH8" s="148"/>
      <c r="BI8" s="145"/>
      <c r="BJ8" s="153"/>
      <c r="BK8" s="152"/>
      <c r="BL8" s="146"/>
      <c r="BM8" s="147"/>
      <c r="BN8" s="148"/>
      <c r="BO8" s="147"/>
      <c r="BP8" s="148"/>
      <c r="BQ8" s="145">
        <f t="shared" si="0"/>
        <v>1582</v>
      </c>
      <c r="BR8" s="146"/>
    </row>
    <row r="9" spans="1:70" s="4" customFormat="1" ht="16.5" customHeight="1" x14ac:dyDescent="0.25">
      <c r="A9" s="33"/>
      <c r="B9" s="34" t="s">
        <v>51</v>
      </c>
      <c r="C9" s="101"/>
      <c r="D9" s="102"/>
      <c r="E9" s="101"/>
      <c r="F9" s="102"/>
      <c r="G9" s="147">
        <f>48+1</f>
        <v>49</v>
      </c>
      <c r="H9" s="148"/>
      <c r="I9" s="147"/>
      <c r="J9" s="148"/>
      <c r="K9" s="147"/>
      <c r="L9" s="148"/>
      <c r="M9" s="147"/>
      <c r="N9" s="148"/>
      <c r="O9" s="147"/>
      <c r="P9" s="148"/>
      <c r="Q9" s="147"/>
      <c r="R9" s="148"/>
      <c r="S9" s="147"/>
      <c r="T9" s="148"/>
      <c r="U9" s="147"/>
      <c r="V9" s="148"/>
      <c r="W9" s="147"/>
      <c r="X9" s="148"/>
      <c r="Y9" s="147"/>
      <c r="Z9" s="148"/>
      <c r="AA9" s="147"/>
      <c r="AB9" s="148"/>
      <c r="AC9" s="147"/>
      <c r="AD9" s="148"/>
      <c r="AE9" s="147"/>
      <c r="AF9" s="148"/>
      <c r="AG9" s="147"/>
      <c r="AH9" s="148"/>
      <c r="AI9" s="147"/>
      <c r="AJ9" s="148"/>
      <c r="AK9" s="147"/>
      <c r="AL9" s="148"/>
      <c r="AM9" s="147"/>
      <c r="AN9" s="148"/>
      <c r="AO9" s="147"/>
      <c r="AP9" s="148"/>
      <c r="AQ9" s="147"/>
      <c r="AR9" s="148"/>
      <c r="AS9" s="147"/>
      <c r="AT9" s="148"/>
      <c r="AU9" s="147"/>
      <c r="AV9" s="148"/>
      <c r="AW9" s="147"/>
      <c r="AX9" s="148"/>
      <c r="AY9" s="147"/>
      <c r="AZ9" s="148"/>
      <c r="BA9" s="147"/>
      <c r="BB9" s="148"/>
      <c r="BC9" s="147">
        <f>13+1</f>
        <v>14</v>
      </c>
      <c r="BD9" s="148"/>
      <c r="BE9" s="145"/>
      <c r="BF9" s="146"/>
      <c r="BG9" s="147">
        <f>115+4</f>
        <v>119</v>
      </c>
      <c r="BH9" s="148"/>
      <c r="BI9" s="145"/>
      <c r="BJ9" s="153"/>
      <c r="BK9" s="152"/>
      <c r="BL9" s="146"/>
      <c r="BM9" s="147"/>
      <c r="BN9" s="148"/>
      <c r="BO9" s="147">
        <v>27</v>
      </c>
      <c r="BP9" s="148"/>
      <c r="BQ9" s="145">
        <f t="shared" si="0"/>
        <v>209</v>
      </c>
      <c r="BR9" s="146"/>
    </row>
    <row r="10" spans="1:70" s="4" customFormat="1" ht="16.5" customHeight="1" x14ac:dyDescent="0.25">
      <c r="A10" s="33"/>
      <c r="B10" s="34" t="s">
        <v>52</v>
      </c>
      <c r="C10" s="101"/>
      <c r="D10" s="102"/>
      <c r="E10" s="101">
        <v>49</v>
      </c>
      <c r="F10" s="102"/>
      <c r="G10" s="147"/>
      <c r="H10" s="148"/>
      <c r="I10" s="147"/>
      <c r="J10" s="148"/>
      <c r="K10" s="147"/>
      <c r="L10" s="148"/>
      <c r="M10" s="147">
        <v>12</v>
      </c>
      <c r="N10" s="148"/>
      <c r="O10" s="147"/>
      <c r="P10" s="148"/>
      <c r="Q10" s="147"/>
      <c r="R10" s="148"/>
      <c r="S10" s="147"/>
      <c r="T10" s="148"/>
      <c r="U10" s="147"/>
      <c r="V10" s="148"/>
      <c r="W10" s="147">
        <f>81+5</f>
        <v>86</v>
      </c>
      <c r="X10" s="148"/>
      <c r="Y10" s="147"/>
      <c r="Z10" s="148"/>
      <c r="AA10" s="147">
        <f>29+6</f>
        <v>35</v>
      </c>
      <c r="AB10" s="148"/>
      <c r="AC10" s="147">
        <v>329</v>
      </c>
      <c r="AD10" s="148"/>
      <c r="AE10" s="147">
        <v>384</v>
      </c>
      <c r="AF10" s="148"/>
      <c r="AG10" s="147">
        <v>36</v>
      </c>
      <c r="AH10" s="148"/>
      <c r="AI10" s="147">
        <v>149</v>
      </c>
      <c r="AJ10" s="148"/>
      <c r="AK10" s="147">
        <f>23+2</f>
        <v>25</v>
      </c>
      <c r="AL10" s="148"/>
      <c r="AM10" s="147"/>
      <c r="AN10" s="148"/>
      <c r="AO10" s="147"/>
      <c r="AP10" s="148"/>
      <c r="AQ10" s="147"/>
      <c r="AR10" s="148"/>
      <c r="AS10" s="147"/>
      <c r="AT10" s="148"/>
      <c r="AU10" s="147">
        <v>32</v>
      </c>
      <c r="AV10" s="148"/>
      <c r="AW10" s="147"/>
      <c r="AX10" s="148"/>
      <c r="AY10" s="147"/>
      <c r="AZ10" s="148"/>
      <c r="BA10" s="147"/>
      <c r="BB10" s="148"/>
      <c r="BC10" s="147"/>
      <c r="BD10" s="148"/>
      <c r="BE10" s="145"/>
      <c r="BF10" s="146"/>
      <c r="BG10" s="147"/>
      <c r="BH10" s="148"/>
      <c r="BI10" s="145"/>
      <c r="BJ10" s="153"/>
      <c r="BK10" s="152"/>
      <c r="BL10" s="146"/>
      <c r="BM10" s="147"/>
      <c r="BN10" s="148"/>
      <c r="BO10" s="147"/>
      <c r="BP10" s="148"/>
      <c r="BQ10" s="145">
        <f t="shared" si="0"/>
        <v>1137</v>
      </c>
      <c r="BR10" s="146"/>
    </row>
    <row r="11" spans="1:70" s="4" customFormat="1" ht="16.5" customHeight="1" x14ac:dyDescent="0.25">
      <c r="A11" s="33" t="s">
        <v>53</v>
      </c>
      <c r="B11" s="34" t="s">
        <v>54</v>
      </c>
      <c r="C11" s="101"/>
      <c r="D11" s="102"/>
      <c r="E11" s="101">
        <v>29</v>
      </c>
      <c r="F11" s="102"/>
      <c r="G11" s="147">
        <v>753</v>
      </c>
      <c r="H11" s="148"/>
      <c r="I11" s="147">
        <v>469</v>
      </c>
      <c r="J11" s="148"/>
      <c r="K11" s="147">
        <v>59</v>
      </c>
      <c r="L11" s="148"/>
      <c r="M11" s="147">
        <v>829</v>
      </c>
      <c r="N11" s="148"/>
      <c r="O11" s="147">
        <f>11+1</f>
        <v>12</v>
      </c>
      <c r="P11" s="148"/>
      <c r="Q11" s="147"/>
      <c r="R11" s="148"/>
      <c r="S11" s="147">
        <v>26</v>
      </c>
      <c r="T11" s="148"/>
      <c r="U11" s="147">
        <v>33</v>
      </c>
      <c r="V11" s="148"/>
      <c r="W11" s="147"/>
      <c r="X11" s="148"/>
      <c r="Y11" s="147">
        <v>11</v>
      </c>
      <c r="Z11" s="148"/>
      <c r="AA11" s="147">
        <v>148</v>
      </c>
      <c r="AB11" s="148"/>
      <c r="AC11" s="147">
        <v>492</v>
      </c>
      <c r="AD11" s="148"/>
      <c r="AE11" s="147">
        <v>30</v>
      </c>
      <c r="AF11" s="148"/>
      <c r="AG11" s="147">
        <v>72</v>
      </c>
      <c r="AH11" s="148"/>
      <c r="AI11" s="147">
        <v>74</v>
      </c>
      <c r="AJ11" s="148"/>
      <c r="AK11" s="147"/>
      <c r="AL11" s="148"/>
      <c r="AM11" s="147">
        <v>206</v>
      </c>
      <c r="AN11" s="148"/>
      <c r="AO11" s="147">
        <v>15</v>
      </c>
      <c r="AP11" s="148"/>
      <c r="AQ11" s="147">
        <v>13</v>
      </c>
      <c r="AR11" s="148"/>
      <c r="AS11" s="147">
        <v>21</v>
      </c>
      <c r="AT11" s="148"/>
      <c r="AU11" s="147">
        <v>52</v>
      </c>
      <c r="AV11" s="148"/>
      <c r="AW11" s="147">
        <f>104+1</f>
        <v>105</v>
      </c>
      <c r="AX11" s="148"/>
      <c r="AY11" s="147">
        <f>77+7</f>
        <v>84</v>
      </c>
      <c r="AZ11" s="148"/>
      <c r="BA11" s="147">
        <f>318+4</f>
        <v>322</v>
      </c>
      <c r="BB11" s="148"/>
      <c r="BC11" s="147">
        <v>61</v>
      </c>
      <c r="BD11" s="148"/>
      <c r="BE11" s="145">
        <v>18</v>
      </c>
      <c r="BF11" s="146"/>
      <c r="BG11" s="147">
        <f>521+3</f>
        <v>524</v>
      </c>
      <c r="BH11" s="148"/>
      <c r="BI11" s="145"/>
      <c r="BJ11" s="153"/>
      <c r="BK11" s="152"/>
      <c r="BL11" s="146"/>
      <c r="BM11" s="147">
        <v>25</v>
      </c>
      <c r="BN11" s="148"/>
      <c r="BO11" s="147">
        <v>335</v>
      </c>
      <c r="BP11" s="148"/>
      <c r="BQ11" s="145">
        <f t="shared" si="0"/>
        <v>4818</v>
      </c>
      <c r="BR11" s="146"/>
    </row>
    <row r="12" spans="1:70" s="4" customFormat="1" ht="20.25" customHeight="1" x14ac:dyDescent="0.25">
      <c r="A12" s="33"/>
      <c r="B12" s="34" t="s">
        <v>55</v>
      </c>
      <c r="C12" s="101">
        <f>13+3</f>
        <v>16</v>
      </c>
      <c r="D12" s="102"/>
      <c r="E12" s="101"/>
      <c r="F12" s="102"/>
      <c r="G12" s="147">
        <f>290+3</f>
        <v>293</v>
      </c>
      <c r="H12" s="148"/>
      <c r="I12" s="147">
        <v>232</v>
      </c>
      <c r="J12" s="148"/>
      <c r="K12" s="147">
        <v>62</v>
      </c>
      <c r="L12" s="148"/>
      <c r="M12" s="147">
        <v>185</v>
      </c>
      <c r="N12" s="148"/>
      <c r="O12" s="147"/>
      <c r="P12" s="148"/>
      <c r="Q12" s="147"/>
      <c r="R12" s="148"/>
      <c r="S12" s="147">
        <v>34</v>
      </c>
      <c r="T12" s="148"/>
      <c r="U12" s="147">
        <v>17</v>
      </c>
      <c r="V12" s="148"/>
      <c r="W12" s="147">
        <v>84</v>
      </c>
      <c r="X12" s="148"/>
      <c r="Y12" s="147">
        <v>107</v>
      </c>
      <c r="Z12" s="148"/>
      <c r="AA12" s="147">
        <v>263</v>
      </c>
      <c r="AB12" s="148"/>
      <c r="AC12" s="147">
        <v>447</v>
      </c>
      <c r="AD12" s="148"/>
      <c r="AE12" s="147">
        <v>183</v>
      </c>
      <c r="AF12" s="148"/>
      <c r="AG12" s="147">
        <v>103</v>
      </c>
      <c r="AH12" s="148"/>
      <c r="AI12" s="147">
        <v>39</v>
      </c>
      <c r="AJ12" s="148"/>
      <c r="AK12" s="147">
        <f>9+2</f>
        <v>11</v>
      </c>
      <c r="AL12" s="148"/>
      <c r="AM12" s="147">
        <v>219</v>
      </c>
      <c r="AN12" s="148"/>
      <c r="AO12" s="147">
        <v>35</v>
      </c>
      <c r="AP12" s="148"/>
      <c r="AQ12" s="147">
        <v>27</v>
      </c>
      <c r="AR12" s="148"/>
      <c r="AS12" s="147">
        <f>17+8</f>
        <v>25</v>
      </c>
      <c r="AT12" s="148"/>
      <c r="AU12" s="147">
        <v>36</v>
      </c>
      <c r="AV12" s="148"/>
      <c r="AW12" s="147">
        <v>82</v>
      </c>
      <c r="AX12" s="148"/>
      <c r="AY12" s="147"/>
      <c r="AZ12" s="148"/>
      <c r="BA12" s="147">
        <f>46+5</f>
        <v>51</v>
      </c>
      <c r="BB12" s="148"/>
      <c r="BC12" s="147">
        <v>45</v>
      </c>
      <c r="BD12" s="148"/>
      <c r="BE12" s="145"/>
      <c r="BF12" s="146"/>
      <c r="BG12" s="147"/>
      <c r="BH12" s="148"/>
      <c r="BI12" s="145"/>
      <c r="BJ12" s="153"/>
      <c r="BK12" s="152"/>
      <c r="BL12" s="146"/>
      <c r="BM12" s="147"/>
      <c r="BN12" s="148"/>
      <c r="BO12" s="147">
        <f>327+2</f>
        <v>329</v>
      </c>
      <c r="BP12" s="148"/>
      <c r="BQ12" s="145">
        <f t="shared" si="0"/>
        <v>2925</v>
      </c>
      <c r="BR12" s="146"/>
    </row>
    <row r="13" spans="1:70" s="4" customFormat="1" x14ac:dyDescent="0.25">
      <c r="A13" s="33"/>
      <c r="B13" s="34" t="s">
        <v>56</v>
      </c>
      <c r="C13" s="101">
        <f>14+4</f>
        <v>18</v>
      </c>
      <c r="D13" s="102"/>
      <c r="E13" s="101"/>
      <c r="F13" s="102"/>
      <c r="G13" s="147">
        <f>364+3</f>
        <v>367</v>
      </c>
      <c r="H13" s="148"/>
      <c r="I13" s="147">
        <v>82</v>
      </c>
      <c r="J13" s="148"/>
      <c r="K13" s="147">
        <f>7+4</f>
        <v>11</v>
      </c>
      <c r="L13" s="148"/>
      <c r="M13" s="147">
        <f>135+9</f>
        <v>144</v>
      </c>
      <c r="N13" s="148"/>
      <c r="O13" s="147"/>
      <c r="P13" s="148"/>
      <c r="Q13" s="147"/>
      <c r="R13" s="148"/>
      <c r="S13" s="147">
        <v>31</v>
      </c>
      <c r="T13" s="148"/>
      <c r="U13" s="147">
        <v>77</v>
      </c>
      <c r="V13" s="148"/>
      <c r="W13" s="147">
        <v>66</v>
      </c>
      <c r="X13" s="148"/>
      <c r="Y13" s="147">
        <v>15</v>
      </c>
      <c r="Z13" s="148"/>
      <c r="AA13" s="147">
        <v>173</v>
      </c>
      <c r="AB13" s="148"/>
      <c r="AC13" s="147">
        <f>67+4</f>
        <v>71</v>
      </c>
      <c r="AD13" s="148"/>
      <c r="AE13" s="147">
        <v>136</v>
      </c>
      <c r="AF13" s="148"/>
      <c r="AG13" s="147">
        <f>34+8</f>
        <v>42</v>
      </c>
      <c r="AH13" s="148"/>
      <c r="AI13" s="147">
        <v>10</v>
      </c>
      <c r="AJ13" s="148"/>
      <c r="AK13" s="147"/>
      <c r="AL13" s="148"/>
      <c r="AM13" s="147">
        <v>147</v>
      </c>
      <c r="AN13" s="148"/>
      <c r="AO13" s="147">
        <f>10+1</f>
        <v>11</v>
      </c>
      <c r="AP13" s="148"/>
      <c r="AQ13" s="147">
        <v>49</v>
      </c>
      <c r="AR13" s="148"/>
      <c r="AS13" s="147"/>
      <c r="AT13" s="148"/>
      <c r="AU13" s="147">
        <v>43</v>
      </c>
      <c r="AV13" s="148"/>
      <c r="AW13" s="147">
        <v>14</v>
      </c>
      <c r="AX13" s="148"/>
      <c r="AY13" s="147"/>
      <c r="AZ13" s="148"/>
      <c r="BA13" s="147"/>
      <c r="BB13" s="148"/>
      <c r="BC13" s="147">
        <v>32</v>
      </c>
      <c r="BD13" s="148"/>
      <c r="BE13" s="145"/>
      <c r="BF13" s="146"/>
      <c r="BG13" s="147">
        <f>320+3</f>
        <v>323</v>
      </c>
      <c r="BH13" s="148"/>
      <c r="BI13" s="145"/>
      <c r="BJ13" s="153"/>
      <c r="BK13" s="152"/>
      <c r="BL13" s="146"/>
      <c r="BM13" s="147"/>
      <c r="BN13" s="148"/>
      <c r="BO13" s="147">
        <f>279+1</f>
        <v>280</v>
      </c>
      <c r="BP13" s="148"/>
      <c r="BQ13" s="145">
        <f t="shared" si="0"/>
        <v>2142</v>
      </c>
      <c r="BR13" s="146"/>
    </row>
    <row r="14" spans="1:70" s="4" customFormat="1" ht="22.5" customHeight="1" x14ac:dyDescent="0.25">
      <c r="A14" s="33"/>
      <c r="B14" s="34" t="s">
        <v>57</v>
      </c>
      <c r="C14" s="101"/>
      <c r="D14" s="102"/>
      <c r="E14" s="101"/>
      <c r="F14" s="102"/>
      <c r="G14" s="147">
        <f>42+3</f>
        <v>45</v>
      </c>
      <c r="H14" s="148"/>
      <c r="I14" s="147">
        <v>56</v>
      </c>
      <c r="J14" s="148"/>
      <c r="K14" s="147"/>
      <c r="L14" s="148"/>
      <c r="M14" s="147">
        <v>77</v>
      </c>
      <c r="N14" s="148"/>
      <c r="O14" s="147">
        <f>19+1+1</f>
        <v>21</v>
      </c>
      <c r="P14" s="148"/>
      <c r="Q14" s="147"/>
      <c r="R14" s="148"/>
      <c r="S14" s="147">
        <f>7+3</f>
        <v>10</v>
      </c>
      <c r="T14" s="148"/>
      <c r="U14" s="147">
        <f>27+6</f>
        <v>33</v>
      </c>
      <c r="V14" s="148"/>
      <c r="W14" s="147"/>
      <c r="X14" s="148"/>
      <c r="Y14" s="147"/>
      <c r="Z14" s="148"/>
      <c r="AA14" s="147">
        <v>21</v>
      </c>
      <c r="AB14" s="148"/>
      <c r="AC14" s="147"/>
      <c r="AD14" s="148"/>
      <c r="AE14" s="147"/>
      <c r="AF14" s="148"/>
      <c r="AG14" s="147"/>
      <c r="AH14" s="148"/>
      <c r="AI14" s="147"/>
      <c r="AJ14" s="148"/>
      <c r="AK14" s="147"/>
      <c r="AL14" s="148"/>
      <c r="AM14" s="147">
        <v>17</v>
      </c>
      <c r="AN14" s="148"/>
      <c r="AO14" s="147"/>
      <c r="AP14" s="148"/>
      <c r="AQ14" s="147">
        <v>478</v>
      </c>
      <c r="AR14" s="148"/>
      <c r="AS14" s="147">
        <v>17</v>
      </c>
      <c r="AT14" s="148"/>
      <c r="AU14" s="147"/>
      <c r="AV14" s="148"/>
      <c r="AW14" s="147"/>
      <c r="AX14" s="148"/>
      <c r="AY14" s="147"/>
      <c r="AZ14" s="148"/>
      <c r="BA14" s="147"/>
      <c r="BB14" s="148"/>
      <c r="BC14" s="147"/>
      <c r="BD14" s="148"/>
      <c r="BE14" s="145"/>
      <c r="BF14" s="146"/>
      <c r="BG14" s="147">
        <f>40+1+1+3</f>
        <v>45</v>
      </c>
      <c r="BH14" s="148"/>
      <c r="BI14" s="145"/>
      <c r="BJ14" s="153"/>
      <c r="BK14" s="152"/>
      <c r="BL14" s="146"/>
      <c r="BM14" s="147"/>
      <c r="BN14" s="148"/>
      <c r="BO14" s="147"/>
      <c r="BP14" s="148"/>
      <c r="BQ14" s="145">
        <f t="shared" si="0"/>
        <v>820</v>
      </c>
      <c r="BR14" s="146"/>
    </row>
    <row r="15" spans="1:70" s="4" customFormat="1" ht="24.75" customHeight="1" x14ac:dyDescent="0.25">
      <c r="A15" s="33" t="s">
        <v>58</v>
      </c>
      <c r="B15" s="34" t="s">
        <v>59</v>
      </c>
      <c r="C15" s="101">
        <f>5+5</f>
        <v>10</v>
      </c>
      <c r="D15" s="102"/>
      <c r="E15" s="101"/>
      <c r="F15" s="102"/>
      <c r="G15" s="147">
        <f>18+4</f>
        <v>22</v>
      </c>
      <c r="H15" s="148"/>
      <c r="I15" s="147"/>
      <c r="J15" s="148"/>
      <c r="K15" s="147"/>
      <c r="L15" s="148"/>
      <c r="M15" s="147"/>
      <c r="N15" s="148"/>
      <c r="O15" s="147"/>
      <c r="P15" s="148"/>
      <c r="Q15" s="147"/>
      <c r="R15" s="148"/>
      <c r="S15" s="147"/>
      <c r="T15" s="148"/>
      <c r="U15" s="147"/>
      <c r="V15" s="148"/>
      <c r="W15" s="147"/>
      <c r="X15" s="148"/>
      <c r="Y15" s="147">
        <f>16+7</f>
        <v>23</v>
      </c>
      <c r="Z15" s="148"/>
      <c r="AA15" s="147">
        <v>20</v>
      </c>
      <c r="AB15" s="148"/>
      <c r="AC15" s="147"/>
      <c r="AD15" s="148"/>
      <c r="AE15" s="147">
        <v>261</v>
      </c>
      <c r="AF15" s="148"/>
      <c r="AG15" s="147">
        <f>22+4</f>
        <v>26</v>
      </c>
      <c r="AH15" s="148"/>
      <c r="AI15" s="147"/>
      <c r="AJ15" s="148"/>
      <c r="AK15" s="147">
        <f>29+5+1</f>
        <v>35</v>
      </c>
      <c r="AL15" s="148"/>
      <c r="AM15" s="147"/>
      <c r="AN15" s="148"/>
      <c r="AO15" s="147"/>
      <c r="AP15" s="148"/>
      <c r="AQ15" s="147"/>
      <c r="AR15" s="148"/>
      <c r="AS15" s="147"/>
      <c r="AT15" s="148"/>
      <c r="AU15" s="147">
        <f>36+6</f>
        <v>42</v>
      </c>
      <c r="AV15" s="148"/>
      <c r="AW15" s="147">
        <v>30</v>
      </c>
      <c r="AX15" s="148"/>
      <c r="AY15" s="147">
        <v>39</v>
      </c>
      <c r="AZ15" s="148"/>
      <c r="BA15" s="147">
        <v>156</v>
      </c>
      <c r="BB15" s="148"/>
      <c r="BC15" s="147">
        <f>22+4</f>
        <v>26</v>
      </c>
      <c r="BD15" s="148"/>
      <c r="BE15" s="145"/>
      <c r="BF15" s="146"/>
      <c r="BG15" s="147">
        <f>94+1</f>
        <v>95</v>
      </c>
      <c r="BH15" s="148"/>
      <c r="BI15" s="145"/>
      <c r="BJ15" s="153"/>
      <c r="BK15" s="152"/>
      <c r="BL15" s="146"/>
      <c r="BM15" s="147"/>
      <c r="BN15" s="148"/>
      <c r="BO15" s="147">
        <v>67</v>
      </c>
      <c r="BP15" s="148"/>
      <c r="BQ15" s="145">
        <f t="shared" si="0"/>
        <v>852</v>
      </c>
      <c r="BR15" s="146"/>
    </row>
    <row r="16" spans="1:70" s="4" customFormat="1" x14ac:dyDescent="0.25">
      <c r="A16" s="33"/>
      <c r="B16" s="34" t="s">
        <v>60</v>
      </c>
      <c r="C16" s="101"/>
      <c r="D16" s="102"/>
      <c r="E16" s="101">
        <f>7+5</f>
        <v>12</v>
      </c>
      <c r="F16" s="102"/>
      <c r="G16" s="147">
        <f>70+2</f>
        <v>72</v>
      </c>
      <c r="H16" s="148"/>
      <c r="I16" s="147">
        <v>40</v>
      </c>
      <c r="J16" s="148"/>
      <c r="K16" s="147"/>
      <c r="L16" s="148"/>
      <c r="M16" s="147">
        <f>122+1</f>
        <v>123</v>
      </c>
      <c r="N16" s="148"/>
      <c r="O16" s="147">
        <f>26+6</f>
        <v>32</v>
      </c>
      <c r="P16" s="148"/>
      <c r="Q16" s="147"/>
      <c r="R16" s="148"/>
      <c r="S16" s="147">
        <v>23</v>
      </c>
      <c r="T16" s="148"/>
      <c r="U16" s="147">
        <v>19</v>
      </c>
      <c r="V16" s="148"/>
      <c r="W16" s="147"/>
      <c r="X16" s="148"/>
      <c r="Y16" s="147">
        <v>12</v>
      </c>
      <c r="Z16" s="148"/>
      <c r="AA16" s="147">
        <f>15+1+3</f>
        <v>19</v>
      </c>
      <c r="AB16" s="148"/>
      <c r="AC16" s="147"/>
      <c r="AD16" s="148"/>
      <c r="AE16" s="147"/>
      <c r="AF16" s="148"/>
      <c r="AG16" s="147"/>
      <c r="AH16" s="148"/>
      <c r="AI16" s="147"/>
      <c r="AJ16" s="148"/>
      <c r="AK16" s="147"/>
      <c r="AL16" s="148"/>
      <c r="AM16" s="147">
        <f>4+7</f>
        <v>11</v>
      </c>
      <c r="AN16" s="148"/>
      <c r="AO16" s="147"/>
      <c r="AP16" s="148"/>
      <c r="AQ16" s="147"/>
      <c r="AR16" s="148"/>
      <c r="AS16" s="147"/>
      <c r="AT16" s="148"/>
      <c r="AU16" s="147"/>
      <c r="AV16" s="148"/>
      <c r="AW16" s="147">
        <v>14</v>
      </c>
      <c r="AX16" s="148"/>
      <c r="AY16" s="147">
        <v>88</v>
      </c>
      <c r="AZ16" s="148"/>
      <c r="BA16" s="147">
        <v>58</v>
      </c>
      <c r="BB16" s="148"/>
      <c r="BC16" s="147">
        <f>69+8</f>
        <v>77</v>
      </c>
      <c r="BD16" s="148"/>
      <c r="BE16" s="145"/>
      <c r="BF16" s="146"/>
      <c r="BG16" s="147">
        <f>56+6</f>
        <v>62</v>
      </c>
      <c r="BH16" s="148"/>
      <c r="BI16" s="145"/>
      <c r="BJ16" s="153"/>
      <c r="BK16" s="152"/>
      <c r="BL16" s="146"/>
      <c r="BM16" s="147">
        <v>26</v>
      </c>
      <c r="BN16" s="148"/>
      <c r="BO16" s="147"/>
      <c r="BP16" s="148"/>
      <c r="BQ16" s="145">
        <f t="shared" si="0"/>
        <v>688</v>
      </c>
      <c r="BR16" s="146"/>
    </row>
    <row r="17" spans="1:70" s="4" customFormat="1" x14ac:dyDescent="0.25">
      <c r="A17" s="33"/>
      <c r="B17" s="34" t="s">
        <v>61</v>
      </c>
      <c r="C17" s="101"/>
      <c r="D17" s="102"/>
      <c r="E17" s="101"/>
      <c r="F17" s="102"/>
      <c r="G17" s="147"/>
      <c r="H17" s="148"/>
      <c r="I17" s="147"/>
      <c r="J17" s="148"/>
      <c r="K17" s="147"/>
      <c r="L17" s="148"/>
      <c r="M17" s="147">
        <v>11</v>
      </c>
      <c r="N17" s="148"/>
      <c r="O17" s="147"/>
      <c r="P17" s="148"/>
      <c r="Q17" s="147"/>
      <c r="R17" s="148"/>
      <c r="S17" s="147">
        <v>20</v>
      </c>
      <c r="T17" s="148"/>
      <c r="U17" s="147">
        <v>11</v>
      </c>
      <c r="V17" s="148"/>
      <c r="W17" s="147"/>
      <c r="X17" s="148"/>
      <c r="Y17" s="147">
        <f>18+9</f>
        <v>27</v>
      </c>
      <c r="Z17" s="148"/>
      <c r="AA17" s="147"/>
      <c r="AB17" s="148"/>
      <c r="AC17" s="147"/>
      <c r="AD17" s="148"/>
      <c r="AE17" s="147">
        <v>29</v>
      </c>
      <c r="AF17" s="148"/>
      <c r="AG17" s="147">
        <v>10</v>
      </c>
      <c r="AH17" s="148"/>
      <c r="AI17" s="147"/>
      <c r="AJ17" s="148"/>
      <c r="AK17" s="147">
        <f>20+1</f>
        <v>21</v>
      </c>
      <c r="AL17" s="148"/>
      <c r="AM17" s="147">
        <f>64+2</f>
        <v>66</v>
      </c>
      <c r="AN17" s="148"/>
      <c r="AO17" s="147">
        <v>34</v>
      </c>
      <c r="AP17" s="148"/>
      <c r="AQ17" s="147">
        <v>141</v>
      </c>
      <c r="AR17" s="148"/>
      <c r="AS17" s="147">
        <f>94+2+5</f>
        <v>101</v>
      </c>
      <c r="AT17" s="148"/>
      <c r="AU17" s="147"/>
      <c r="AV17" s="148"/>
      <c r="AW17" s="147"/>
      <c r="AX17" s="148"/>
      <c r="AY17" s="147">
        <f>83+1</f>
        <v>84</v>
      </c>
      <c r="AZ17" s="148"/>
      <c r="BA17" s="147"/>
      <c r="BB17" s="148"/>
      <c r="BC17" s="147"/>
      <c r="BD17" s="148"/>
      <c r="BE17" s="145"/>
      <c r="BF17" s="146"/>
      <c r="BG17" s="147"/>
      <c r="BH17" s="148"/>
      <c r="BI17" s="145"/>
      <c r="BJ17" s="153"/>
      <c r="BK17" s="152"/>
      <c r="BL17" s="146"/>
      <c r="BM17" s="147"/>
      <c r="BN17" s="148"/>
      <c r="BO17" s="147"/>
      <c r="BP17" s="148"/>
      <c r="BQ17" s="145">
        <f t="shared" si="0"/>
        <v>555</v>
      </c>
      <c r="BR17" s="146"/>
    </row>
    <row r="18" spans="1:70" s="4" customFormat="1" ht="33.75" customHeight="1" x14ac:dyDescent="0.25">
      <c r="A18" s="33"/>
      <c r="B18" s="34" t="s">
        <v>62</v>
      </c>
      <c r="C18" s="101"/>
      <c r="D18" s="102"/>
      <c r="E18" s="101"/>
      <c r="F18" s="102"/>
      <c r="G18" s="147">
        <f>27+4</f>
        <v>31</v>
      </c>
      <c r="H18" s="148"/>
      <c r="I18" s="147">
        <v>11</v>
      </c>
      <c r="J18" s="148"/>
      <c r="K18" s="147"/>
      <c r="L18" s="148"/>
      <c r="M18" s="147">
        <f>21+8</f>
        <v>29</v>
      </c>
      <c r="N18" s="148"/>
      <c r="O18" s="147">
        <v>12</v>
      </c>
      <c r="P18" s="148"/>
      <c r="Q18" s="147"/>
      <c r="R18" s="148"/>
      <c r="S18" s="147"/>
      <c r="T18" s="148"/>
      <c r="U18" s="147">
        <f>26+8+1+1</f>
        <v>36</v>
      </c>
      <c r="V18" s="148"/>
      <c r="W18" s="147"/>
      <c r="X18" s="148"/>
      <c r="Y18" s="147"/>
      <c r="Z18" s="148"/>
      <c r="AA18" s="147"/>
      <c r="AB18" s="148"/>
      <c r="AC18" s="147"/>
      <c r="AD18" s="148"/>
      <c r="AE18" s="147"/>
      <c r="AF18" s="148"/>
      <c r="AG18" s="147"/>
      <c r="AH18" s="148"/>
      <c r="AI18" s="147"/>
      <c r="AJ18" s="148"/>
      <c r="AK18" s="147"/>
      <c r="AL18" s="148"/>
      <c r="AM18" s="147"/>
      <c r="AN18" s="148"/>
      <c r="AO18" s="147"/>
      <c r="AP18" s="148"/>
      <c r="AQ18" s="147"/>
      <c r="AR18" s="148"/>
      <c r="AS18" s="147"/>
      <c r="AT18" s="148"/>
      <c r="AU18" s="147">
        <f>8+5</f>
        <v>13</v>
      </c>
      <c r="AV18" s="148"/>
      <c r="AW18" s="147"/>
      <c r="AX18" s="148"/>
      <c r="AY18" s="147">
        <f>9+5</f>
        <v>14</v>
      </c>
      <c r="AZ18" s="148"/>
      <c r="BA18" s="147"/>
      <c r="BB18" s="148"/>
      <c r="BC18" s="147">
        <f>10+1+2+6</f>
        <v>19</v>
      </c>
      <c r="BD18" s="148"/>
      <c r="BE18" s="145"/>
      <c r="BF18" s="146"/>
      <c r="BG18" s="147"/>
      <c r="BH18" s="148"/>
      <c r="BI18" s="145"/>
      <c r="BJ18" s="153"/>
      <c r="BK18" s="152"/>
      <c r="BL18" s="146"/>
      <c r="BM18" s="147"/>
      <c r="BN18" s="148"/>
      <c r="BO18" s="147"/>
      <c r="BP18" s="148"/>
      <c r="BQ18" s="145">
        <f t="shared" si="0"/>
        <v>165</v>
      </c>
      <c r="BR18" s="146"/>
    </row>
    <row r="19" spans="1:70" s="4" customFormat="1" ht="33.75" customHeight="1" x14ac:dyDescent="0.25">
      <c r="A19" s="33"/>
      <c r="B19" s="34" t="s">
        <v>63</v>
      </c>
      <c r="C19" s="101"/>
      <c r="D19" s="102"/>
      <c r="E19" s="101"/>
      <c r="F19" s="102"/>
      <c r="G19" s="147"/>
      <c r="H19" s="148"/>
      <c r="I19" s="147"/>
      <c r="J19" s="148"/>
      <c r="K19" s="147"/>
      <c r="L19" s="148"/>
      <c r="M19" s="147">
        <f>3+3+1+4</f>
        <v>11</v>
      </c>
      <c r="N19" s="148"/>
      <c r="O19" s="147"/>
      <c r="P19" s="148"/>
      <c r="Q19" s="147"/>
      <c r="R19" s="148"/>
      <c r="S19" s="147"/>
      <c r="T19" s="148"/>
      <c r="U19" s="147"/>
      <c r="V19" s="148"/>
      <c r="W19" s="147"/>
      <c r="X19" s="148"/>
      <c r="Y19" s="147"/>
      <c r="Z19" s="148"/>
      <c r="AA19" s="147"/>
      <c r="AB19" s="148"/>
      <c r="AC19" s="147"/>
      <c r="AD19" s="148"/>
      <c r="AE19" s="147"/>
      <c r="AF19" s="148"/>
      <c r="AG19" s="147"/>
      <c r="AH19" s="148"/>
      <c r="AI19" s="147"/>
      <c r="AJ19" s="148"/>
      <c r="AK19" s="147"/>
      <c r="AL19" s="148"/>
      <c r="AM19" s="147"/>
      <c r="AN19" s="148"/>
      <c r="AO19" s="147"/>
      <c r="AP19" s="148"/>
      <c r="AQ19" s="147"/>
      <c r="AR19" s="148"/>
      <c r="AS19" s="147"/>
      <c r="AT19" s="148"/>
      <c r="AU19" s="147"/>
      <c r="AV19" s="148"/>
      <c r="AW19" s="147"/>
      <c r="AX19" s="148"/>
      <c r="AY19" s="147"/>
      <c r="AZ19" s="148"/>
      <c r="BA19" s="147"/>
      <c r="BB19" s="148"/>
      <c r="BC19" s="147"/>
      <c r="BD19" s="148"/>
      <c r="BE19" s="145"/>
      <c r="BF19" s="146"/>
      <c r="BG19" s="147"/>
      <c r="BH19" s="148"/>
      <c r="BI19" s="145"/>
      <c r="BJ19" s="146"/>
      <c r="BK19" s="145"/>
      <c r="BL19" s="146"/>
      <c r="BM19" s="147"/>
      <c r="BN19" s="148"/>
      <c r="BO19" s="147"/>
      <c r="BP19" s="148"/>
      <c r="BQ19" s="145">
        <f t="shared" si="0"/>
        <v>11</v>
      </c>
      <c r="BR19" s="146"/>
    </row>
    <row r="20" spans="1:70" s="4" customFormat="1" ht="33.75" customHeight="1" thickBot="1" x14ac:dyDescent="0.3">
      <c r="A20" s="35" t="s">
        <v>64</v>
      </c>
      <c r="B20" s="36" t="s">
        <v>64</v>
      </c>
      <c r="C20" s="101"/>
      <c r="D20" s="102"/>
      <c r="E20" s="101"/>
      <c r="F20" s="102"/>
      <c r="G20" s="147"/>
      <c r="H20" s="148"/>
      <c r="I20" s="147">
        <f>9+3+3+5</f>
        <v>20</v>
      </c>
      <c r="J20" s="148"/>
      <c r="K20" s="147"/>
      <c r="L20" s="148"/>
      <c r="M20" s="147"/>
      <c r="N20" s="148"/>
      <c r="O20" s="147"/>
      <c r="P20" s="148"/>
      <c r="Q20" s="147"/>
      <c r="R20" s="148"/>
      <c r="S20" s="147"/>
      <c r="T20" s="148"/>
      <c r="U20" s="147">
        <f>4+1+3+1+3+1</f>
        <v>13</v>
      </c>
      <c r="V20" s="148"/>
      <c r="W20" s="147"/>
      <c r="X20" s="148"/>
      <c r="Y20" s="147"/>
      <c r="Z20" s="148"/>
      <c r="AA20" s="147"/>
      <c r="AB20" s="148"/>
      <c r="AC20" s="147"/>
      <c r="AD20" s="148"/>
      <c r="AE20" s="147"/>
      <c r="AF20" s="148"/>
      <c r="AG20" s="147"/>
      <c r="AH20" s="148"/>
      <c r="AI20" s="147"/>
      <c r="AJ20" s="148"/>
      <c r="AK20" s="147"/>
      <c r="AL20" s="148"/>
      <c r="AM20" s="147"/>
      <c r="AN20" s="148"/>
      <c r="AO20" s="147"/>
      <c r="AP20" s="148"/>
      <c r="AQ20" s="147">
        <f>6+6+1+1+2</f>
        <v>16</v>
      </c>
      <c r="AR20" s="148"/>
      <c r="AS20" s="147"/>
      <c r="AT20" s="148"/>
      <c r="AU20" s="147"/>
      <c r="AV20" s="148"/>
      <c r="AW20" s="147"/>
      <c r="AX20" s="148"/>
      <c r="AY20" s="147"/>
      <c r="AZ20" s="148"/>
      <c r="BA20" s="147"/>
      <c r="BB20" s="148"/>
      <c r="BC20" s="147"/>
      <c r="BD20" s="148"/>
      <c r="BE20" s="145"/>
      <c r="BF20" s="146"/>
      <c r="BG20" s="147">
        <f>2+4+1+3+2+1</f>
        <v>13</v>
      </c>
      <c r="BH20" s="148"/>
      <c r="BI20" s="145"/>
      <c r="BJ20" s="146"/>
      <c r="BK20" s="145"/>
      <c r="BL20" s="146"/>
      <c r="BM20" s="147"/>
      <c r="BN20" s="148"/>
      <c r="BO20" s="147"/>
      <c r="BP20" s="148"/>
      <c r="BQ20" s="145">
        <f t="shared" si="0"/>
        <v>62</v>
      </c>
      <c r="BR20" s="146"/>
    </row>
    <row r="21" spans="1:70" s="4" customFormat="1" ht="22.5" customHeight="1" thickBot="1" x14ac:dyDescent="0.3">
      <c r="A21" s="99" t="s">
        <v>0</v>
      </c>
      <c r="B21" s="100"/>
      <c r="C21" s="135">
        <f>SUM(C5:C20)</f>
        <v>44</v>
      </c>
      <c r="D21" s="136"/>
      <c r="E21" s="135">
        <f>SUM(E5:E20)</f>
        <v>90</v>
      </c>
      <c r="F21" s="136"/>
      <c r="G21" s="135">
        <f t="shared" ref="G21:BO21" si="1">SUM(G5:G20)</f>
        <v>2198</v>
      </c>
      <c r="H21" s="136"/>
      <c r="I21" s="135">
        <f t="shared" si="1"/>
        <v>1308</v>
      </c>
      <c r="J21" s="136"/>
      <c r="K21" s="135">
        <f t="shared" si="1"/>
        <v>165</v>
      </c>
      <c r="L21" s="136"/>
      <c r="M21" s="135">
        <f t="shared" si="1"/>
        <v>1939</v>
      </c>
      <c r="N21" s="136"/>
      <c r="O21" s="135">
        <f t="shared" si="1"/>
        <v>77</v>
      </c>
      <c r="P21" s="136"/>
      <c r="Q21" s="135">
        <f t="shared" si="1"/>
        <v>0</v>
      </c>
      <c r="R21" s="136"/>
      <c r="S21" s="135">
        <f t="shared" si="1"/>
        <v>144</v>
      </c>
      <c r="T21" s="136"/>
      <c r="U21" s="135">
        <f t="shared" si="1"/>
        <v>239</v>
      </c>
      <c r="V21" s="136"/>
      <c r="W21" s="135">
        <f t="shared" si="1"/>
        <v>256</v>
      </c>
      <c r="X21" s="136"/>
      <c r="Y21" s="135">
        <f t="shared" si="1"/>
        <v>207</v>
      </c>
      <c r="Z21" s="136"/>
      <c r="AA21" s="135">
        <f t="shared" si="1"/>
        <v>711</v>
      </c>
      <c r="AB21" s="136"/>
      <c r="AC21" s="135">
        <f t="shared" si="1"/>
        <v>1947</v>
      </c>
      <c r="AD21" s="136"/>
      <c r="AE21" s="135">
        <f t="shared" si="1"/>
        <v>1062</v>
      </c>
      <c r="AF21" s="136"/>
      <c r="AG21" s="135">
        <f t="shared" si="1"/>
        <v>351</v>
      </c>
      <c r="AH21" s="136"/>
      <c r="AI21" s="135">
        <f t="shared" si="1"/>
        <v>272</v>
      </c>
      <c r="AJ21" s="136"/>
      <c r="AK21" s="135">
        <f t="shared" si="1"/>
        <v>92</v>
      </c>
      <c r="AL21" s="136"/>
      <c r="AM21" s="135">
        <f t="shared" si="1"/>
        <v>666</v>
      </c>
      <c r="AN21" s="136"/>
      <c r="AO21" s="135">
        <f t="shared" si="1"/>
        <v>95</v>
      </c>
      <c r="AP21" s="136"/>
      <c r="AQ21" s="135">
        <f t="shared" si="1"/>
        <v>808</v>
      </c>
      <c r="AR21" s="136"/>
      <c r="AS21" s="135">
        <f t="shared" si="1"/>
        <v>164</v>
      </c>
      <c r="AT21" s="136"/>
      <c r="AU21" s="135">
        <f t="shared" si="1"/>
        <v>218</v>
      </c>
      <c r="AV21" s="136"/>
      <c r="AW21" s="135">
        <f t="shared" si="1"/>
        <v>245</v>
      </c>
      <c r="AX21" s="136"/>
      <c r="AY21" s="135">
        <f t="shared" si="1"/>
        <v>337</v>
      </c>
      <c r="AZ21" s="136"/>
      <c r="BA21" s="135">
        <f t="shared" si="1"/>
        <v>720</v>
      </c>
      <c r="BB21" s="136"/>
      <c r="BC21" s="135">
        <f t="shared" si="1"/>
        <v>274</v>
      </c>
      <c r="BD21" s="136"/>
      <c r="BE21" s="135">
        <f t="shared" si="1"/>
        <v>18</v>
      </c>
      <c r="BF21" s="136"/>
      <c r="BG21" s="135">
        <f t="shared" si="1"/>
        <v>1319</v>
      </c>
      <c r="BH21" s="136"/>
      <c r="BI21" s="135">
        <f t="shared" si="1"/>
        <v>0</v>
      </c>
      <c r="BJ21" s="136"/>
      <c r="BK21" s="135">
        <f t="shared" si="1"/>
        <v>0</v>
      </c>
      <c r="BL21" s="136"/>
      <c r="BM21" s="135">
        <f t="shared" si="1"/>
        <v>51</v>
      </c>
      <c r="BN21" s="136"/>
      <c r="BO21" s="135">
        <f t="shared" si="1"/>
        <v>1038</v>
      </c>
      <c r="BP21" s="136"/>
      <c r="BQ21" s="155">
        <f t="shared" si="0"/>
        <v>17055</v>
      </c>
      <c r="BR21" s="156"/>
    </row>
    <row r="22" spans="1:70" s="4" customFormat="1" ht="18.75" customHeight="1" x14ac:dyDescent="0.25">
      <c r="A22" s="23"/>
      <c r="B22" s="25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  <c r="BF22" s="24"/>
      <c r="BG22" s="24"/>
      <c r="BH22" s="24"/>
      <c r="BI22" s="24"/>
      <c r="BJ22" s="24"/>
      <c r="BK22" s="24"/>
      <c r="BL22" s="24"/>
      <c r="BM22" s="24"/>
      <c r="BN22" s="24"/>
      <c r="BO22" s="24"/>
      <c r="BP22" s="24"/>
      <c r="BQ22" s="25"/>
      <c r="BR22" s="23"/>
    </row>
    <row r="23" spans="1:70" s="4" customFormat="1" ht="15" customHeight="1" x14ac:dyDescent="0.25">
      <c r="B23" s="25"/>
    </row>
    <row r="24" spans="1:70" s="4" customFormat="1" ht="15.75" thickBot="1" x14ac:dyDescent="0.3">
      <c r="A24" s="94" t="s">
        <v>65</v>
      </c>
      <c r="B24" s="94"/>
      <c r="C24" s="94"/>
    </row>
    <row r="25" spans="1:70" s="4" customFormat="1" x14ac:dyDescent="0.25">
      <c r="A25" s="29"/>
      <c r="B25" s="51" t="s">
        <v>1</v>
      </c>
      <c r="C25" s="110" t="s">
        <v>5</v>
      </c>
      <c r="D25" s="111"/>
      <c r="E25" s="110" t="s">
        <v>6</v>
      </c>
      <c r="F25" s="111"/>
      <c r="G25" s="110" t="s">
        <v>7</v>
      </c>
      <c r="H25" s="112"/>
      <c r="I25" s="103" t="s">
        <v>8</v>
      </c>
      <c r="J25" s="104"/>
      <c r="K25" s="103" t="s">
        <v>9</v>
      </c>
      <c r="L25" s="104"/>
      <c r="M25" s="103" t="s">
        <v>10</v>
      </c>
      <c r="N25" s="104"/>
      <c r="O25" s="103" t="s">
        <v>11</v>
      </c>
      <c r="P25" s="104"/>
      <c r="Q25" s="105" t="s">
        <v>12</v>
      </c>
      <c r="R25" s="109"/>
      <c r="S25" s="103" t="s">
        <v>13</v>
      </c>
      <c r="T25" s="108"/>
      <c r="U25" s="103" t="s">
        <v>14</v>
      </c>
      <c r="V25" s="104"/>
      <c r="W25" s="103" t="s">
        <v>15</v>
      </c>
      <c r="X25" s="104"/>
      <c r="Y25" s="103" t="s">
        <v>16</v>
      </c>
      <c r="Z25" s="104"/>
      <c r="AA25" s="103" t="s">
        <v>17</v>
      </c>
      <c r="AB25" s="104"/>
      <c r="AC25" s="103" t="s">
        <v>18</v>
      </c>
      <c r="AD25" s="104"/>
      <c r="AE25" s="103" t="s">
        <v>19</v>
      </c>
      <c r="AF25" s="104"/>
      <c r="AG25" s="103" t="s">
        <v>20</v>
      </c>
      <c r="AH25" s="104"/>
      <c r="AI25" s="103" t="s">
        <v>21</v>
      </c>
      <c r="AJ25" s="104"/>
      <c r="AK25" s="103" t="s">
        <v>22</v>
      </c>
      <c r="AL25" s="108"/>
      <c r="AM25" s="103" t="s">
        <v>23</v>
      </c>
      <c r="AN25" s="104"/>
      <c r="AO25" s="103" t="s">
        <v>24</v>
      </c>
      <c r="AP25" s="104"/>
      <c r="AQ25" s="103" t="s">
        <v>25</v>
      </c>
      <c r="AR25" s="104"/>
      <c r="AS25" s="103" t="s">
        <v>26</v>
      </c>
      <c r="AT25" s="104"/>
      <c r="AU25" s="103" t="s">
        <v>27</v>
      </c>
      <c r="AV25" s="104"/>
      <c r="AW25" s="103" t="s">
        <v>28</v>
      </c>
      <c r="AX25" s="108"/>
      <c r="AY25" s="103" t="s">
        <v>29</v>
      </c>
      <c r="AZ25" s="104"/>
      <c r="BA25" s="103" t="s">
        <v>30</v>
      </c>
      <c r="BB25" s="104"/>
      <c r="BC25" s="103" t="s">
        <v>31</v>
      </c>
      <c r="BD25" s="104"/>
      <c r="BE25" s="103" t="s">
        <v>32</v>
      </c>
      <c r="BF25" s="104"/>
      <c r="BG25" s="103" t="s">
        <v>33</v>
      </c>
      <c r="BH25" s="104"/>
      <c r="BI25" s="105" t="s">
        <v>34</v>
      </c>
      <c r="BJ25" s="106"/>
      <c r="BK25" s="105" t="s">
        <v>86</v>
      </c>
      <c r="BL25" s="106"/>
      <c r="BM25" s="103" t="s">
        <v>35</v>
      </c>
      <c r="BN25" s="104"/>
      <c r="BO25" s="105" t="s">
        <v>36</v>
      </c>
      <c r="BP25" s="106"/>
      <c r="BQ25" s="105" t="s">
        <v>0</v>
      </c>
      <c r="BR25" s="107"/>
    </row>
    <row r="26" spans="1:70" s="4" customFormat="1" ht="15.75" thickBot="1" x14ac:dyDescent="0.3">
      <c r="A26" s="31" t="s">
        <v>39</v>
      </c>
      <c r="B26" s="52" t="s">
        <v>40</v>
      </c>
      <c r="C26" s="76" t="s">
        <v>66</v>
      </c>
      <c r="D26" s="76" t="s">
        <v>67</v>
      </c>
      <c r="E26" s="76" t="s">
        <v>66</v>
      </c>
      <c r="F26" s="76" t="s">
        <v>67</v>
      </c>
      <c r="G26" s="76" t="s">
        <v>66</v>
      </c>
      <c r="H26" s="76" t="s">
        <v>67</v>
      </c>
      <c r="I26" s="76" t="s">
        <v>66</v>
      </c>
      <c r="J26" s="76" t="s">
        <v>67</v>
      </c>
      <c r="K26" s="76" t="s">
        <v>66</v>
      </c>
      <c r="L26" s="76" t="s">
        <v>67</v>
      </c>
      <c r="M26" s="77" t="s">
        <v>66</v>
      </c>
      <c r="N26" s="77" t="s">
        <v>67</v>
      </c>
      <c r="O26" s="77" t="s">
        <v>66</v>
      </c>
      <c r="P26" s="77" t="s">
        <v>67</v>
      </c>
      <c r="Q26" s="77"/>
      <c r="R26" s="77"/>
      <c r="S26" s="77" t="s">
        <v>66</v>
      </c>
      <c r="T26" s="77" t="s">
        <v>67</v>
      </c>
      <c r="U26" s="77" t="s">
        <v>66</v>
      </c>
      <c r="V26" s="77" t="s">
        <v>67</v>
      </c>
      <c r="W26" s="77" t="s">
        <v>66</v>
      </c>
      <c r="X26" s="77" t="s">
        <v>67</v>
      </c>
      <c r="Y26" s="77" t="s">
        <v>66</v>
      </c>
      <c r="Z26" s="77" t="s">
        <v>67</v>
      </c>
      <c r="AA26" s="77" t="s">
        <v>66</v>
      </c>
      <c r="AB26" s="77" t="s">
        <v>67</v>
      </c>
      <c r="AC26" s="76" t="s">
        <v>66</v>
      </c>
      <c r="AD26" s="76" t="s">
        <v>67</v>
      </c>
      <c r="AE26" s="76" t="s">
        <v>66</v>
      </c>
      <c r="AF26" s="76" t="s">
        <v>67</v>
      </c>
      <c r="AG26" s="76" t="s">
        <v>66</v>
      </c>
      <c r="AH26" s="76" t="s">
        <v>67</v>
      </c>
      <c r="AI26" s="76" t="s">
        <v>66</v>
      </c>
      <c r="AJ26" s="76" t="s">
        <v>67</v>
      </c>
      <c r="AK26" s="76" t="s">
        <v>66</v>
      </c>
      <c r="AL26" s="76" t="s">
        <v>67</v>
      </c>
      <c r="AM26" s="76" t="s">
        <v>66</v>
      </c>
      <c r="AN26" s="76" t="s">
        <v>67</v>
      </c>
      <c r="AO26" s="76" t="s">
        <v>66</v>
      </c>
      <c r="AP26" s="76" t="s">
        <v>67</v>
      </c>
      <c r="AQ26" s="76" t="s">
        <v>66</v>
      </c>
      <c r="AR26" s="76" t="s">
        <v>67</v>
      </c>
      <c r="AS26" s="78" t="s">
        <v>66</v>
      </c>
      <c r="AT26" s="78" t="s">
        <v>67</v>
      </c>
      <c r="AU26" s="78" t="s">
        <v>66</v>
      </c>
      <c r="AV26" s="78" t="s">
        <v>67</v>
      </c>
      <c r="AW26" s="78" t="s">
        <v>66</v>
      </c>
      <c r="AX26" s="78" t="s">
        <v>67</v>
      </c>
      <c r="AY26" s="78" t="s">
        <v>66</v>
      </c>
      <c r="AZ26" s="76" t="s">
        <v>67</v>
      </c>
      <c r="BA26" s="76" t="s">
        <v>66</v>
      </c>
      <c r="BB26" s="76" t="s">
        <v>67</v>
      </c>
      <c r="BC26" s="76" t="s">
        <v>66</v>
      </c>
      <c r="BD26" s="76" t="s">
        <v>67</v>
      </c>
      <c r="BE26" s="76" t="s">
        <v>66</v>
      </c>
      <c r="BF26" s="76" t="s">
        <v>67</v>
      </c>
      <c r="BG26" s="76" t="s">
        <v>66</v>
      </c>
      <c r="BH26" s="76" t="s">
        <v>67</v>
      </c>
      <c r="BI26" s="76" t="s">
        <v>66</v>
      </c>
      <c r="BJ26" s="76" t="s">
        <v>67</v>
      </c>
      <c r="BK26" s="76" t="s">
        <v>66</v>
      </c>
      <c r="BL26" s="76" t="s">
        <v>67</v>
      </c>
      <c r="BM26" s="76" t="s">
        <v>66</v>
      </c>
      <c r="BN26" s="76" t="s">
        <v>67</v>
      </c>
      <c r="BO26" s="76" t="s">
        <v>66</v>
      </c>
      <c r="BP26" s="78" t="s">
        <v>67</v>
      </c>
      <c r="BQ26" s="76" t="s">
        <v>66</v>
      </c>
      <c r="BR26" s="76" t="s">
        <v>67</v>
      </c>
    </row>
    <row r="27" spans="1:70" s="4" customFormat="1" x14ac:dyDescent="0.25">
      <c r="A27" s="37" t="s">
        <v>43</v>
      </c>
      <c r="B27" s="38" t="s">
        <v>47</v>
      </c>
      <c r="C27" s="60"/>
      <c r="D27" s="60"/>
      <c r="E27" s="60"/>
      <c r="F27" s="60"/>
      <c r="G27" s="60"/>
      <c r="H27" s="60"/>
      <c r="I27" s="60"/>
      <c r="J27" s="60"/>
      <c r="K27" s="60"/>
      <c r="L27" s="60"/>
      <c r="M27" s="60"/>
      <c r="N27" s="60"/>
      <c r="O27" s="60"/>
      <c r="P27" s="60"/>
      <c r="Q27" s="60"/>
      <c r="R27" s="60"/>
      <c r="S27" s="60"/>
      <c r="T27" s="60"/>
      <c r="U27" s="60"/>
      <c r="V27" s="60"/>
      <c r="W27" s="60"/>
      <c r="X27" s="60"/>
      <c r="Y27" s="60"/>
      <c r="Z27" s="60"/>
      <c r="AA27" s="60"/>
      <c r="AB27" s="60"/>
      <c r="AC27" s="60"/>
      <c r="AD27" s="60"/>
      <c r="AE27" s="60"/>
      <c r="AF27" s="60"/>
      <c r="AG27" s="60"/>
      <c r="AH27" s="60"/>
      <c r="AI27" s="79"/>
      <c r="AJ27" s="60"/>
      <c r="AK27" s="79"/>
      <c r="AL27" s="60"/>
      <c r="AM27" s="79"/>
      <c r="AN27" s="60"/>
      <c r="AO27" s="79"/>
      <c r="AP27" s="79"/>
      <c r="AQ27" s="79"/>
      <c r="AR27" s="60"/>
      <c r="AS27" s="60"/>
      <c r="AT27" s="60"/>
      <c r="AU27" s="60"/>
      <c r="AV27" s="60"/>
      <c r="AW27" s="60"/>
      <c r="AX27" s="60"/>
      <c r="AY27" s="60"/>
      <c r="AZ27" s="60"/>
      <c r="BA27" s="79"/>
      <c r="BB27" s="60"/>
      <c r="BC27" s="79"/>
      <c r="BD27" s="79"/>
      <c r="BE27" s="79"/>
      <c r="BF27" s="60"/>
      <c r="BG27" s="79"/>
      <c r="BH27" s="60"/>
      <c r="BI27" s="79"/>
      <c r="BJ27" s="79"/>
      <c r="BK27" s="79"/>
      <c r="BL27" s="79"/>
      <c r="BM27" s="79"/>
      <c r="BN27" s="60"/>
      <c r="BO27" s="79"/>
      <c r="BP27" s="60"/>
      <c r="BQ27" s="20">
        <f>SUM(C27,E27,G27,I27,K27,M27,O27,Q27,S27,U27,W27,Y27,AA27,AC27,AE27,AG27,AI27,AK27,AM27,AO27,AQ27,AS27,AU27,AW27,AY27,BA27,BC27,BE27,BG27,BI27,BK27,BM27,BO27)</f>
        <v>0</v>
      </c>
      <c r="BR27" s="20">
        <v>0</v>
      </c>
    </row>
    <row r="28" spans="1:70" s="4" customFormat="1" x14ac:dyDescent="0.25">
      <c r="A28" s="37"/>
      <c r="B28" s="34" t="s">
        <v>48</v>
      </c>
      <c r="C28" s="64"/>
      <c r="D28" s="60"/>
      <c r="E28" s="60"/>
      <c r="F28" s="60"/>
      <c r="G28" s="64"/>
      <c r="H28" s="60"/>
      <c r="I28" s="64"/>
      <c r="J28" s="60"/>
      <c r="K28" s="64"/>
      <c r="L28" s="60"/>
      <c r="M28" s="80"/>
      <c r="N28" s="60"/>
      <c r="O28" s="80"/>
      <c r="P28" s="60"/>
      <c r="Q28" s="80"/>
      <c r="R28" s="60"/>
      <c r="S28" s="80"/>
      <c r="T28" s="60"/>
      <c r="U28" s="80"/>
      <c r="V28" s="60"/>
      <c r="W28" s="80"/>
      <c r="X28" s="60"/>
      <c r="Y28" s="80">
        <f>1260000+1260000</f>
        <v>2520000</v>
      </c>
      <c r="Z28" s="60">
        <f t="shared" ref="Z28:Z43" si="2">Y28/Y6</f>
        <v>210000</v>
      </c>
      <c r="AA28" s="80"/>
      <c r="AB28" s="60"/>
      <c r="AC28" s="64">
        <f>18000000+630000+210000</f>
        <v>18840000</v>
      </c>
      <c r="AD28" s="60">
        <f t="shared" ref="AD28:AD43" si="3">AC28/AC6</f>
        <v>200425.53191489363</v>
      </c>
      <c r="AE28" s="64"/>
      <c r="AF28" s="60"/>
      <c r="AG28" s="60"/>
      <c r="AH28" s="60"/>
      <c r="AI28" s="65"/>
      <c r="AJ28" s="60"/>
      <c r="AK28" s="65"/>
      <c r="AL28" s="60"/>
      <c r="AM28" s="65"/>
      <c r="AN28" s="60"/>
      <c r="AO28" s="65"/>
      <c r="AP28" s="79"/>
      <c r="AQ28" s="65"/>
      <c r="AR28" s="60"/>
      <c r="AS28" s="64"/>
      <c r="AT28" s="60"/>
      <c r="AU28" s="80"/>
      <c r="AV28" s="60"/>
      <c r="AW28" s="64"/>
      <c r="AX28" s="60"/>
      <c r="AY28" s="64">
        <v>5810000</v>
      </c>
      <c r="AZ28" s="60">
        <f t="shared" ref="AZ28:AZ43" si="4">AY28/AY6</f>
        <v>207500</v>
      </c>
      <c r="BA28" s="65">
        <v>27930000</v>
      </c>
      <c r="BB28" s="60">
        <f t="shared" ref="BB28:BB43" si="5">BA28/BA6</f>
        <v>210000</v>
      </c>
      <c r="BC28" s="65"/>
      <c r="BD28" s="79"/>
      <c r="BE28" s="65"/>
      <c r="BF28" s="60"/>
      <c r="BG28" s="65"/>
      <c r="BH28" s="60"/>
      <c r="BI28" s="65"/>
      <c r="BJ28" s="79"/>
      <c r="BK28" s="65"/>
      <c r="BL28" s="79"/>
      <c r="BM28" s="65"/>
      <c r="BN28" s="60"/>
      <c r="BO28" s="65"/>
      <c r="BP28" s="60"/>
      <c r="BQ28" s="20">
        <f t="shared" ref="BQ28:BQ43" si="6">SUM(C28,E28,G28,I28,K28,M28,O28,Q28,S28,U28,W28,Y28,AA28,AC28,AE28,AG28,AI28,AK28,AM28,AO28,AQ28,AS28,AU28,AW28,AY28,BA28,BC28,BE28,BG28,BI28,BK28,BM28,BO28)</f>
        <v>55100000</v>
      </c>
      <c r="BR28" s="20">
        <f>BQ28/BQ6</f>
        <v>206367.04119850186</v>
      </c>
    </row>
    <row r="29" spans="1:70" s="4" customFormat="1" x14ac:dyDescent="0.25">
      <c r="A29" s="33"/>
      <c r="B29" s="34" t="s">
        <v>49</v>
      </c>
      <c r="C29" s="64"/>
      <c r="D29" s="60"/>
      <c r="E29" s="60"/>
      <c r="F29" s="60"/>
      <c r="G29" s="64"/>
      <c r="H29" s="60"/>
      <c r="I29" s="64">
        <v>3150000</v>
      </c>
      <c r="J29" s="60">
        <f t="shared" ref="J29:J43" si="7">I29/I7</f>
        <v>225000</v>
      </c>
      <c r="K29" s="64"/>
      <c r="L29" s="60"/>
      <c r="M29" s="80">
        <f>16875000+450000</f>
        <v>17325000</v>
      </c>
      <c r="N29" s="60">
        <f t="shared" ref="N29:N43" si="8">M29/M7</f>
        <v>225000</v>
      </c>
      <c r="O29" s="80"/>
      <c r="P29" s="60"/>
      <c r="Q29" s="80"/>
      <c r="R29" s="60"/>
      <c r="S29" s="80"/>
      <c r="T29" s="60"/>
      <c r="U29" s="80"/>
      <c r="V29" s="60"/>
      <c r="W29" s="80">
        <f>4140000+460000</f>
        <v>4600000</v>
      </c>
      <c r="X29" s="60">
        <f t="shared" ref="X29:X43" si="9">W29/W7</f>
        <v>230000</v>
      </c>
      <c r="Y29" s="80"/>
      <c r="Z29" s="60"/>
      <c r="AA29" s="80">
        <f>2070000+1840000</f>
        <v>3910000</v>
      </c>
      <c r="AB29" s="60">
        <f t="shared" ref="AB29:AB43" si="10">AA29/AA7</f>
        <v>230000</v>
      </c>
      <c r="AC29" s="64">
        <f>116840000+1500000</f>
        <v>118340000</v>
      </c>
      <c r="AD29" s="60">
        <f t="shared" si="3"/>
        <v>230233.46303501946</v>
      </c>
      <c r="AE29" s="64">
        <v>8970000</v>
      </c>
      <c r="AF29" s="60">
        <f t="shared" ref="AF29:AF43" si="11">AE29/AE7</f>
        <v>230000</v>
      </c>
      <c r="AG29" s="60">
        <v>14260000</v>
      </c>
      <c r="AH29" s="60">
        <f t="shared" ref="AH29:AH43" si="12">AG29/AG7</f>
        <v>230000</v>
      </c>
      <c r="AI29" s="65"/>
      <c r="AJ29" s="60"/>
      <c r="AK29" s="65"/>
      <c r="AL29" s="60"/>
      <c r="AM29" s="65"/>
      <c r="AN29" s="60"/>
      <c r="AO29" s="65"/>
      <c r="AP29" s="79"/>
      <c r="AQ29" s="65">
        <f>1610000+1610000</f>
        <v>3220000</v>
      </c>
      <c r="AR29" s="60">
        <f t="shared" ref="AR29:AR43" si="13">AQ29/AQ7</f>
        <v>230000</v>
      </c>
      <c r="AS29" s="64"/>
      <c r="AT29" s="60"/>
      <c r="AU29" s="80"/>
      <c r="AV29" s="60"/>
      <c r="AW29" s="64"/>
      <c r="AX29" s="60"/>
      <c r="AY29" s="64"/>
      <c r="AZ29" s="60"/>
      <c r="BA29" s="65"/>
      <c r="BB29" s="60"/>
      <c r="BC29" s="65"/>
      <c r="BD29" s="79"/>
      <c r="BE29" s="65"/>
      <c r="BF29" s="60"/>
      <c r="BG29" s="65">
        <v>15275000</v>
      </c>
      <c r="BH29" s="60">
        <f t="shared" ref="BH29:BH43" si="14">BG29/BG7</f>
        <v>235000</v>
      </c>
      <c r="BI29" s="65"/>
      <c r="BJ29" s="79"/>
      <c r="BK29" s="65"/>
      <c r="BL29" s="79"/>
      <c r="BM29" s="65"/>
      <c r="BN29" s="60"/>
      <c r="BO29" s="65"/>
      <c r="BP29" s="60"/>
      <c r="BQ29" s="20">
        <f t="shared" si="6"/>
        <v>189050000</v>
      </c>
      <c r="BR29" s="20">
        <f t="shared" ref="BR29:BR43" si="15">BQ29/BQ7</f>
        <v>229987.83454987835</v>
      </c>
    </row>
    <row r="30" spans="1:70" s="4" customFormat="1" x14ac:dyDescent="0.25">
      <c r="A30" s="33"/>
      <c r="B30" s="34" t="s">
        <v>50</v>
      </c>
      <c r="C30" s="64"/>
      <c r="D30" s="60"/>
      <c r="E30" s="60"/>
      <c r="F30" s="60"/>
      <c r="G30" s="64">
        <v>141500000</v>
      </c>
      <c r="H30" s="60">
        <f t="shared" ref="H30:H43" si="16">G30/G8</f>
        <v>250000</v>
      </c>
      <c r="I30" s="64">
        <v>96000000</v>
      </c>
      <c r="J30" s="60">
        <f t="shared" si="7"/>
        <v>250000</v>
      </c>
      <c r="K30" s="64">
        <v>8150000</v>
      </c>
      <c r="L30" s="60">
        <f t="shared" ref="L30:L43" si="17">K30/K8</f>
        <v>246969.69696969696</v>
      </c>
      <c r="M30" s="80">
        <f>106210000+1300000</f>
        <v>107510000</v>
      </c>
      <c r="N30" s="60">
        <f t="shared" si="8"/>
        <v>243786.84807256237</v>
      </c>
      <c r="O30" s="80"/>
      <c r="P30" s="60"/>
      <c r="Q30" s="80"/>
      <c r="R30" s="60"/>
      <c r="S30" s="80"/>
      <c r="T30" s="60"/>
      <c r="U30" s="80"/>
      <c r="V30" s="60"/>
      <c r="W30" s="80"/>
      <c r="X30" s="60"/>
      <c r="Y30" s="80"/>
      <c r="Z30" s="60"/>
      <c r="AA30" s="80">
        <v>3750000</v>
      </c>
      <c r="AB30" s="60">
        <f t="shared" si="10"/>
        <v>250000</v>
      </c>
      <c r="AC30" s="64"/>
      <c r="AD30" s="60"/>
      <c r="AE30" s="64"/>
      <c r="AF30" s="60"/>
      <c r="AG30" s="60"/>
      <c r="AH30" s="60"/>
      <c r="AI30" s="65"/>
      <c r="AJ30" s="60"/>
      <c r="AK30" s="65"/>
      <c r="AL30" s="60"/>
      <c r="AM30" s="65"/>
      <c r="AN30" s="60"/>
      <c r="AO30" s="65"/>
      <c r="AP30" s="79"/>
      <c r="AQ30" s="65">
        <f>16250000+500000+750000</f>
        <v>17500000</v>
      </c>
      <c r="AR30" s="60">
        <f t="shared" si="13"/>
        <v>250000</v>
      </c>
      <c r="AS30" s="64"/>
      <c r="AT30" s="60"/>
      <c r="AU30" s="80"/>
      <c r="AV30" s="60"/>
      <c r="AW30" s="64"/>
      <c r="AX30" s="60"/>
      <c r="AY30" s="64"/>
      <c r="AZ30" s="60"/>
      <c r="BA30" s="65"/>
      <c r="BB30" s="60"/>
      <c r="BC30" s="65"/>
      <c r="BD30" s="79"/>
      <c r="BE30" s="65"/>
      <c r="BF30" s="60"/>
      <c r="BG30" s="65">
        <f>15500000+1250000+1500000</f>
        <v>18250000</v>
      </c>
      <c r="BH30" s="60">
        <f t="shared" si="14"/>
        <v>250000</v>
      </c>
      <c r="BI30" s="65"/>
      <c r="BJ30" s="79"/>
      <c r="BK30" s="65"/>
      <c r="BL30" s="79"/>
      <c r="BM30" s="65"/>
      <c r="BN30" s="60"/>
      <c r="BO30" s="65"/>
      <c r="BP30" s="60"/>
      <c r="BQ30" s="20">
        <f t="shared" si="6"/>
        <v>392660000</v>
      </c>
      <c r="BR30" s="20">
        <f t="shared" si="15"/>
        <v>248204.80404551202</v>
      </c>
    </row>
    <row r="31" spans="1:70" s="4" customFormat="1" x14ac:dyDescent="0.25">
      <c r="A31" s="33"/>
      <c r="B31" s="34" t="s">
        <v>51</v>
      </c>
      <c r="C31" s="64"/>
      <c r="D31" s="60"/>
      <c r="E31" s="60"/>
      <c r="F31" s="60"/>
      <c r="G31" s="64">
        <f>12480000+280000</f>
        <v>12760000</v>
      </c>
      <c r="H31" s="60">
        <f t="shared" si="16"/>
        <v>260408.16326530612</v>
      </c>
      <c r="I31" s="64"/>
      <c r="J31" s="60"/>
      <c r="K31" s="64"/>
      <c r="L31" s="60"/>
      <c r="M31" s="80"/>
      <c r="N31" s="60"/>
      <c r="O31" s="80"/>
      <c r="P31" s="60"/>
      <c r="Q31" s="80"/>
      <c r="R31" s="60"/>
      <c r="S31" s="80"/>
      <c r="T31" s="60"/>
      <c r="U31" s="80"/>
      <c r="V31" s="60"/>
      <c r="W31" s="80"/>
      <c r="X31" s="60"/>
      <c r="Y31" s="80"/>
      <c r="Z31" s="60"/>
      <c r="AA31" s="80"/>
      <c r="AB31" s="60"/>
      <c r="AC31" s="64"/>
      <c r="AD31" s="60"/>
      <c r="AE31" s="64"/>
      <c r="AF31" s="60"/>
      <c r="AG31" s="60"/>
      <c r="AH31" s="60"/>
      <c r="AI31" s="65"/>
      <c r="AJ31" s="60"/>
      <c r="AK31" s="81"/>
      <c r="AL31" s="60"/>
      <c r="AM31" s="65"/>
      <c r="AN31" s="60"/>
      <c r="AO31" s="65"/>
      <c r="AP31" s="79"/>
      <c r="AQ31" s="65"/>
      <c r="AR31" s="60"/>
      <c r="AS31" s="64"/>
      <c r="AT31" s="60"/>
      <c r="AU31" s="80"/>
      <c r="AV31" s="60"/>
      <c r="AW31" s="64"/>
      <c r="AX31" s="60"/>
      <c r="AY31" s="64"/>
      <c r="AZ31" s="60"/>
      <c r="BA31" s="65"/>
      <c r="BB31" s="60"/>
      <c r="BC31" s="65">
        <f>3510000+280000</f>
        <v>3790000</v>
      </c>
      <c r="BD31" s="79">
        <f t="shared" ref="BD31:BD43" si="18">BC31/BC9</f>
        <v>270714.28571428574</v>
      </c>
      <c r="BE31" s="65"/>
      <c r="BF31" s="60"/>
      <c r="BG31" s="65">
        <f>31050000+1080000</f>
        <v>32130000</v>
      </c>
      <c r="BH31" s="60">
        <f t="shared" si="14"/>
        <v>270000</v>
      </c>
      <c r="BI31" s="65"/>
      <c r="BJ31" s="79"/>
      <c r="BK31" s="65"/>
      <c r="BL31" s="79"/>
      <c r="BM31" s="65"/>
      <c r="BN31" s="60"/>
      <c r="BO31" s="65">
        <v>7020000</v>
      </c>
      <c r="BP31" s="60">
        <f t="shared" ref="BP31:BP43" si="19">BO31/BO9</f>
        <v>260000</v>
      </c>
      <c r="BQ31" s="20">
        <f t="shared" si="6"/>
        <v>55700000</v>
      </c>
      <c r="BR31" s="20">
        <f t="shared" si="15"/>
        <v>266507.17703349283</v>
      </c>
    </row>
    <row r="32" spans="1:70" s="4" customFormat="1" x14ac:dyDescent="0.25">
      <c r="A32" s="33"/>
      <c r="B32" s="34" t="s">
        <v>52</v>
      </c>
      <c r="C32" s="64"/>
      <c r="D32" s="60"/>
      <c r="E32" s="60">
        <v>13930000</v>
      </c>
      <c r="F32" s="60">
        <f>E32/E10</f>
        <v>284285.71428571426</v>
      </c>
      <c r="G32" s="64"/>
      <c r="H32" s="60"/>
      <c r="I32" s="64"/>
      <c r="J32" s="60"/>
      <c r="K32" s="64"/>
      <c r="L32" s="60"/>
      <c r="M32" s="80">
        <v>3480000</v>
      </c>
      <c r="N32" s="60">
        <f t="shared" si="8"/>
        <v>290000</v>
      </c>
      <c r="O32" s="80"/>
      <c r="P32" s="60"/>
      <c r="Q32" s="80"/>
      <c r="R32" s="60"/>
      <c r="S32" s="80"/>
      <c r="T32" s="60"/>
      <c r="U32" s="80"/>
      <c r="V32" s="60"/>
      <c r="W32" s="80">
        <f>22680000+1450000</f>
        <v>24130000</v>
      </c>
      <c r="X32" s="60">
        <f t="shared" si="9"/>
        <v>280581.39534883719</v>
      </c>
      <c r="Y32" s="80"/>
      <c r="Z32" s="60"/>
      <c r="AA32" s="80">
        <f>8120000+1680000</f>
        <v>9800000</v>
      </c>
      <c r="AB32" s="60">
        <f t="shared" si="10"/>
        <v>280000</v>
      </c>
      <c r="AC32" s="64">
        <v>92120000</v>
      </c>
      <c r="AD32" s="60">
        <f t="shared" si="3"/>
        <v>280000</v>
      </c>
      <c r="AE32" s="64">
        <v>107520000</v>
      </c>
      <c r="AF32" s="60">
        <f t="shared" si="11"/>
        <v>280000</v>
      </c>
      <c r="AG32" s="60">
        <v>10080000</v>
      </c>
      <c r="AH32" s="60">
        <f t="shared" si="12"/>
        <v>280000</v>
      </c>
      <c r="AI32" s="65">
        <v>42480000</v>
      </c>
      <c r="AJ32" s="60">
        <f t="shared" ref="AJ32:AJ43" si="20">AI32/AI10</f>
        <v>285100.67114093958</v>
      </c>
      <c r="AK32" s="65">
        <f>6440000+660000</f>
        <v>7100000</v>
      </c>
      <c r="AL32" s="60">
        <f t="shared" ref="AL32:AL43" si="21">AK32/AK10</f>
        <v>284000</v>
      </c>
      <c r="AM32" s="65"/>
      <c r="AN32" s="60"/>
      <c r="AO32" s="65"/>
      <c r="AP32" s="79"/>
      <c r="AQ32" s="65"/>
      <c r="AR32" s="60"/>
      <c r="AS32" s="64"/>
      <c r="AT32" s="60"/>
      <c r="AU32" s="80">
        <v>8960000</v>
      </c>
      <c r="AV32" s="60">
        <f t="shared" ref="AV32:AV43" si="22">AU32/AU10</f>
        <v>280000</v>
      </c>
      <c r="AW32" s="64"/>
      <c r="AX32" s="60"/>
      <c r="AY32" s="64"/>
      <c r="AZ32" s="60"/>
      <c r="BA32" s="65"/>
      <c r="BB32" s="60"/>
      <c r="BC32" s="65"/>
      <c r="BD32" s="79"/>
      <c r="BE32" s="65"/>
      <c r="BF32" s="60"/>
      <c r="BG32" s="65"/>
      <c r="BH32" s="60"/>
      <c r="BI32" s="65"/>
      <c r="BJ32" s="79"/>
      <c r="BK32" s="65"/>
      <c r="BL32" s="79"/>
      <c r="BM32" s="65"/>
      <c r="BN32" s="60"/>
      <c r="BO32" s="65"/>
      <c r="BP32" s="60"/>
      <c r="BQ32" s="20">
        <f t="shared" si="6"/>
        <v>319600000</v>
      </c>
      <c r="BR32" s="20">
        <f t="shared" si="15"/>
        <v>281090.58927000879</v>
      </c>
    </row>
    <row r="33" spans="1:73" s="4" customFormat="1" x14ac:dyDescent="0.25">
      <c r="A33" s="33" t="s">
        <v>53</v>
      </c>
      <c r="B33" s="34" t="s">
        <v>54</v>
      </c>
      <c r="C33" s="64"/>
      <c r="D33" s="60"/>
      <c r="E33" s="60">
        <v>9280000</v>
      </c>
      <c r="F33" s="60">
        <f t="shared" ref="F33:F43" si="23">E33/E11</f>
        <v>320000</v>
      </c>
      <c r="G33" s="64">
        <f>229290000</f>
        <v>229290000</v>
      </c>
      <c r="H33" s="60">
        <f t="shared" si="16"/>
        <v>304501.99203187251</v>
      </c>
      <c r="I33" s="64">
        <v>153660000</v>
      </c>
      <c r="J33" s="60">
        <f t="shared" si="7"/>
        <v>327633.26226012793</v>
      </c>
      <c r="K33" s="64">
        <v>19470000</v>
      </c>
      <c r="L33" s="60">
        <f t="shared" si="17"/>
        <v>330000</v>
      </c>
      <c r="M33" s="80">
        <v>268680000</v>
      </c>
      <c r="N33" s="60">
        <f t="shared" si="8"/>
        <v>324101.32689987938</v>
      </c>
      <c r="O33" s="80">
        <f>3630000+290000</f>
        <v>3920000</v>
      </c>
      <c r="P33" s="60">
        <f t="shared" ref="P33:P43" si="24">O33/O11</f>
        <v>326666.66666666669</v>
      </c>
      <c r="Q33" s="80"/>
      <c r="R33" s="60"/>
      <c r="S33" s="80">
        <v>8580000</v>
      </c>
      <c r="T33" s="60">
        <f t="shared" ref="T33:T43" si="25">S33/S11</f>
        <v>330000</v>
      </c>
      <c r="U33" s="80">
        <v>10890000</v>
      </c>
      <c r="V33" s="60">
        <f t="shared" ref="V33:V43" si="26">U33/U11</f>
        <v>330000</v>
      </c>
      <c r="W33" s="80"/>
      <c r="X33" s="60"/>
      <c r="Y33" s="80">
        <v>3390000</v>
      </c>
      <c r="Z33" s="60">
        <f t="shared" si="2"/>
        <v>308181.81818181818</v>
      </c>
      <c r="AA33" s="80">
        <v>45060000</v>
      </c>
      <c r="AB33" s="60">
        <f t="shared" si="10"/>
        <v>304459.45945945947</v>
      </c>
      <c r="AC33" s="64">
        <v>147600000</v>
      </c>
      <c r="AD33" s="60">
        <f t="shared" si="3"/>
        <v>300000</v>
      </c>
      <c r="AE33" s="64">
        <v>9300000</v>
      </c>
      <c r="AF33" s="60">
        <f t="shared" si="11"/>
        <v>310000</v>
      </c>
      <c r="AG33" s="60">
        <v>21600000</v>
      </c>
      <c r="AH33" s="60">
        <f t="shared" si="12"/>
        <v>300000</v>
      </c>
      <c r="AI33" s="65">
        <v>24420000</v>
      </c>
      <c r="AJ33" s="60">
        <f t="shared" si="20"/>
        <v>330000</v>
      </c>
      <c r="AK33" s="65"/>
      <c r="AL33" s="60"/>
      <c r="AM33" s="65">
        <v>61820000</v>
      </c>
      <c r="AN33" s="60">
        <f t="shared" ref="AN33:AN43" si="27">AM33/AM11</f>
        <v>300097.08737864078</v>
      </c>
      <c r="AO33" s="65">
        <v>4500000</v>
      </c>
      <c r="AP33" s="79">
        <f t="shared" ref="AP33:AP43" si="28">AO33/AO11</f>
        <v>300000</v>
      </c>
      <c r="AQ33" s="65">
        <v>3900000</v>
      </c>
      <c r="AR33" s="60">
        <f t="shared" si="13"/>
        <v>300000</v>
      </c>
      <c r="AS33" s="64">
        <v>6300000</v>
      </c>
      <c r="AT33" s="60">
        <f t="shared" ref="AT33:AT43" si="29">AS33/AS11</f>
        <v>300000</v>
      </c>
      <c r="AU33" s="80">
        <v>16180000</v>
      </c>
      <c r="AV33" s="60">
        <f t="shared" si="22"/>
        <v>311153.84615384613</v>
      </c>
      <c r="AW33" s="64">
        <f>31940000+280000</f>
        <v>32220000</v>
      </c>
      <c r="AX33" s="60">
        <f t="shared" ref="AX33:AX43" si="30">AW33/AW11</f>
        <v>306857.14285714284</v>
      </c>
      <c r="AY33" s="64">
        <f>23870000+2695000</f>
        <v>26565000</v>
      </c>
      <c r="AZ33" s="60">
        <f t="shared" si="4"/>
        <v>316250</v>
      </c>
      <c r="BA33" s="65">
        <f>98930000+1120000</f>
        <v>100050000</v>
      </c>
      <c r="BB33" s="60">
        <f t="shared" si="5"/>
        <v>310714.28571428574</v>
      </c>
      <c r="BC33" s="65">
        <v>19160000</v>
      </c>
      <c r="BD33" s="79">
        <f t="shared" si="18"/>
        <v>314098.36065573769</v>
      </c>
      <c r="BE33" s="65">
        <v>5620000</v>
      </c>
      <c r="BF33" s="60">
        <f t="shared" ref="BF33:BF43" si="31">BE33/BE11</f>
        <v>312222.22222222225</v>
      </c>
      <c r="BG33" s="65">
        <f>162080000+1080000</f>
        <v>163160000</v>
      </c>
      <c r="BH33" s="60">
        <f t="shared" si="14"/>
        <v>311374.04580152669</v>
      </c>
      <c r="BI33" s="65"/>
      <c r="BJ33" s="79"/>
      <c r="BK33" s="65"/>
      <c r="BL33" s="79"/>
      <c r="BM33" s="65">
        <v>7500000</v>
      </c>
      <c r="BN33" s="60">
        <f t="shared" ref="BN33:BN43" si="32">BM33/BM11</f>
        <v>300000</v>
      </c>
      <c r="BO33" s="65">
        <v>101010000</v>
      </c>
      <c r="BP33" s="60">
        <f t="shared" si="19"/>
        <v>301522.38805970148</v>
      </c>
      <c r="BQ33" s="20">
        <f t="shared" si="6"/>
        <v>1503125000</v>
      </c>
      <c r="BR33" s="20">
        <f t="shared" si="15"/>
        <v>311981.11249481112</v>
      </c>
    </row>
    <row r="34" spans="1:73" s="4" customFormat="1" x14ac:dyDescent="0.25">
      <c r="A34" s="33"/>
      <c r="B34" s="34" t="s">
        <v>55</v>
      </c>
      <c r="C34" s="64">
        <f>5005000+965000</f>
        <v>5970000</v>
      </c>
      <c r="D34" s="60">
        <f>C34/C12</f>
        <v>373125</v>
      </c>
      <c r="E34" s="60"/>
      <c r="F34" s="60"/>
      <c r="G34" s="64">
        <f>110165000+1155000</f>
        <v>111320000</v>
      </c>
      <c r="H34" s="60">
        <f t="shared" si="16"/>
        <v>379931.74061433447</v>
      </c>
      <c r="I34" s="64">
        <v>81285000</v>
      </c>
      <c r="J34" s="60">
        <f t="shared" si="7"/>
        <v>350366.37931034481</v>
      </c>
      <c r="K34" s="64">
        <v>21700000</v>
      </c>
      <c r="L34" s="60">
        <f t="shared" si="17"/>
        <v>350000</v>
      </c>
      <c r="M34" s="80">
        <v>65810000</v>
      </c>
      <c r="N34" s="60">
        <f t="shared" si="8"/>
        <v>355729.7297297297</v>
      </c>
      <c r="O34" s="80"/>
      <c r="P34" s="60"/>
      <c r="Q34" s="80"/>
      <c r="R34" s="60"/>
      <c r="S34" s="80">
        <v>11900000</v>
      </c>
      <c r="T34" s="60">
        <f t="shared" si="25"/>
        <v>350000</v>
      </c>
      <c r="U34" s="80">
        <v>5950000</v>
      </c>
      <c r="V34" s="60">
        <f t="shared" si="26"/>
        <v>350000</v>
      </c>
      <c r="W34" s="80">
        <v>30130000</v>
      </c>
      <c r="X34" s="60">
        <f t="shared" si="9"/>
        <v>358690.47619047621</v>
      </c>
      <c r="Y34" s="80">
        <v>39835000</v>
      </c>
      <c r="Z34" s="60">
        <f t="shared" si="2"/>
        <v>372289.7196261682</v>
      </c>
      <c r="AA34" s="80">
        <v>92275000</v>
      </c>
      <c r="AB34" s="60">
        <f t="shared" si="10"/>
        <v>350855.5133079848</v>
      </c>
      <c r="AC34" s="64">
        <v>161340000</v>
      </c>
      <c r="AD34" s="60">
        <f t="shared" si="3"/>
        <v>360939.59731543623</v>
      </c>
      <c r="AE34" s="64">
        <v>65420000</v>
      </c>
      <c r="AF34" s="60">
        <f t="shared" si="11"/>
        <v>357486.33879781421</v>
      </c>
      <c r="AG34" s="60">
        <v>36760000</v>
      </c>
      <c r="AH34" s="60">
        <f t="shared" si="12"/>
        <v>356893.20388349512</v>
      </c>
      <c r="AI34" s="65">
        <v>14410000</v>
      </c>
      <c r="AJ34" s="60">
        <f t="shared" si="20"/>
        <v>369487.1794871795</v>
      </c>
      <c r="AK34" s="65">
        <f>3330000+860000</f>
        <v>4190000</v>
      </c>
      <c r="AL34" s="60">
        <f t="shared" si="21"/>
        <v>380909.09090909088</v>
      </c>
      <c r="AM34" s="65">
        <v>76790000</v>
      </c>
      <c r="AN34" s="60">
        <f t="shared" si="27"/>
        <v>350639.2694063927</v>
      </c>
      <c r="AO34" s="65">
        <v>12250000</v>
      </c>
      <c r="AP34" s="79">
        <f t="shared" si="28"/>
        <v>350000</v>
      </c>
      <c r="AQ34" s="65">
        <v>9450000</v>
      </c>
      <c r="AR34" s="60">
        <f t="shared" si="13"/>
        <v>350000</v>
      </c>
      <c r="AS34" s="64">
        <f>5950000+3440000</f>
        <v>9390000</v>
      </c>
      <c r="AT34" s="60">
        <f t="shared" si="29"/>
        <v>375600</v>
      </c>
      <c r="AU34" s="80">
        <v>13810000</v>
      </c>
      <c r="AV34" s="60">
        <f t="shared" si="22"/>
        <v>383611.11111111112</v>
      </c>
      <c r="AW34" s="64">
        <v>31570000</v>
      </c>
      <c r="AX34" s="60">
        <f t="shared" si="30"/>
        <v>385000</v>
      </c>
      <c r="AY34" s="64"/>
      <c r="AZ34" s="60"/>
      <c r="BA34" s="65">
        <f>17710000+2150000</f>
        <v>19860000</v>
      </c>
      <c r="BB34" s="60">
        <f t="shared" si="5"/>
        <v>389411.76470588235</v>
      </c>
      <c r="BC34" s="65">
        <v>17250000</v>
      </c>
      <c r="BD34" s="79">
        <f t="shared" si="18"/>
        <v>383333.33333333331</v>
      </c>
      <c r="BE34" s="65"/>
      <c r="BF34" s="60"/>
      <c r="BG34" s="65"/>
      <c r="BH34" s="60"/>
      <c r="BI34" s="65"/>
      <c r="BJ34" s="79"/>
      <c r="BK34" s="65"/>
      <c r="BL34" s="79"/>
      <c r="BM34" s="65"/>
      <c r="BN34" s="60"/>
      <c r="BO34" s="65">
        <f>117770000+720000</f>
        <v>118490000</v>
      </c>
      <c r="BP34" s="60">
        <f t="shared" si="19"/>
        <v>360151.97568389057</v>
      </c>
      <c r="BQ34" s="20">
        <f t="shared" si="6"/>
        <v>1057155000</v>
      </c>
      <c r="BR34" s="20">
        <f t="shared" si="15"/>
        <v>361420.51282051281</v>
      </c>
    </row>
    <row r="35" spans="1:73" s="4" customFormat="1" x14ac:dyDescent="0.25">
      <c r="A35" s="33"/>
      <c r="B35" s="34" t="s">
        <v>56</v>
      </c>
      <c r="C35" s="64">
        <f>5775000+1910000</f>
        <v>7685000</v>
      </c>
      <c r="D35" s="60">
        <f t="shared" ref="D35:D37" si="33">C35/C13</f>
        <v>426944.44444444444</v>
      </c>
      <c r="E35" s="60"/>
      <c r="F35" s="60"/>
      <c r="G35" s="64">
        <f>154970000+1270000</f>
        <v>156240000</v>
      </c>
      <c r="H35" s="60">
        <f t="shared" si="16"/>
        <v>425722.07084468665</v>
      </c>
      <c r="I35" s="64">
        <v>34580000</v>
      </c>
      <c r="J35" s="60">
        <f t="shared" si="7"/>
        <v>421707.31707317074</v>
      </c>
      <c r="K35" s="64">
        <f>2980000+1800000</f>
        <v>4780000</v>
      </c>
      <c r="L35" s="60">
        <f t="shared" si="17"/>
        <v>434545.45454545453</v>
      </c>
      <c r="M35" s="80">
        <f>57060000+3780000</f>
        <v>60840000</v>
      </c>
      <c r="N35" s="60">
        <f t="shared" si="8"/>
        <v>422500</v>
      </c>
      <c r="O35" s="80"/>
      <c r="P35" s="60"/>
      <c r="Q35" s="80"/>
      <c r="R35" s="60"/>
      <c r="S35" s="80">
        <v>13115000</v>
      </c>
      <c r="T35" s="60">
        <f t="shared" si="25"/>
        <v>423064.51612903224</v>
      </c>
      <c r="U35" s="80">
        <v>32485000</v>
      </c>
      <c r="V35" s="60">
        <f t="shared" si="26"/>
        <v>421883.11688311689</v>
      </c>
      <c r="W35" s="80">
        <v>27840000</v>
      </c>
      <c r="X35" s="60">
        <f t="shared" si="9"/>
        <v>421818.18181818182</v>
      </c>
      <c r="Y35" s="80">
        <v>6230000</v>
      </c>
      <c r="Z35" s="60">
        <f t="shared" si="2"/>
        <v>415333.33333333331</v>
      </c>
      <c r="AA35" s="80">
        <v>70300000</v>
      </c>
      <c r="AB35" s="60">
        <f t="shared" si="10"/>
        <v>406358.38150289014</v>
      </c>
      <c r="AC35" s="64">
        <f>27470000+1860000</f>
        <v>29330000</v>
      </c>
      <c r="AD35" s="60">
        <f t="shared" si="3"/>
        <v>413098.59154929576</v>
      </c>
      <c r="AE35" s="64">
        <v>56580000</v>
      </c>
      <c r="AF35" s="60">
        <f t="shared" si="11"/>
        <v>416029.4117647059</v>
      </c>
      <c r="AG35" s="60">
        <f>14040000+3600000</f>
        <v>17640000</v>
      </c>
      <c r="AH35" s="60">
        <f t="shared" si="12"/>
        <v>420000</v>
      </c>
      <c r="AI35" s="65">
        <v>4300000</v>
      </c>
      <c r="AJ35" s="60">
        <f t="shared" si="20"/>
        <v>430000</v>
      </c>
      <c r="AK35" s="65"/>
      <c r="AL35" s="60"/>
      <c r="AM35" s="65">
        <v>63210000</v>
      </c>
      <c r="AN35" s="60">
        <f t="shared" si="27"/>
        <v>430000</v>
      </c>
      <c r="AO35" s="65">
        <f>4295000+475000</f>
        <v>4770000</v>
      </c>
      <c r="AP35" s="79">
        <f t="shared" si="28"/>
        <v>433636.36363636365</v>
      </c>
      <c r="AQ35" s="65">
        <v>21070000</v>
      </c>
      <c r="AR35" s="60">
        <f t="shared" si="13"/>
        <v>430000</v>
      </c>
      <c r="AS35" s="64"/>
      <c r="AT35" s="60"/>
      <c r="AU35" s="80">
        <v>18490000</v>
      </c>
      <c r="AV35" s="60">
        <f t="shared" si="22"/>
        <v>430000</v>
      </c>
      <c r="AW35" s="64">
        <v>6020000</v>
      </c>
      <c r="AX35" s="60">
        <f t="shared" si="30"/>
        <v>430000</v>
      </c>
      <c r="AY35" s="64"/>
      <c r="AZ35" s="60"/>
      <c r="BA35" s="65"/>
      <c r="BB35" s="60"/>
      <c r="BC35" s="65">
        <v>13370000</v>
      </c>
      <c r="BD35" s="79">
        <f t="shared" si="18"/>
        <v>417812.5</v>
      </c>
      <c r="BE35" s="65"/>
      <c r="BF35" s="60"/>
      <c r="BG35" s="65">
        <f>128000000+1200000</f>
        <v>129200000</v>
      </c>
      <c r="BH35" s="60">
        <f t="shared" si="14"/>
        <v>400000</v>
      </c>
      <c r="BI35" s="65"/>
      <c r="BJ35" s="79"/>
      <c r="BK35" s="65"/>
      <c r="BL35" s="79"/>
      <c r="BM35" s="65"/>
      <c r="BN35" s="60"/>
      <c r="BO35" s="65">
        <f>114200000+420000</f>
        <v>114620000</v>
      </c>
      <c r="BP35" s="60">
        <f t="shared" si="19"/>
        <v>409357.14285714284</v>
      </c>
      <c r="BQ35" s="20">
        <f t="shared" si="6"/>
        <v>892695000</v>
      </c>
      <c r="BR35" s="20">
        <f t="shared" si="15"/>
        <v>416757.7030812325</v>
      </c>
    </row>
    <row r="36" spans="1:73" s="4" customFormat="1" x14ac:dyDescent="0.25">
      <c r="A36" s="33"/>
      <c r="B36" s="34" t="s">
        <v>57</v>
      </c>
      <c r="C36" s="64"/>
      <c r="D36" s="60"/>
      <c r="E36" s="60"/>
      <c r="F36" s="60"/>
      <c r="G36" s="64">
        <f>19170000+1350000</f>
        <v>20520000</v>
      </c>
      <c r="H36" s="60">
        <f t="shared" si="16"/>
        <v>456000</v>
      </c>
      <c r="I36" s="64">
        <v>25575000</v>
      </c>
      <c r="J36" s="60">
        <f t="shared" si="7"/>
        <v>456696.42857142858</v>
      </c>
      <c r="K36" s="64"/>
      <c r="L36" s="60"/>
      <c r="M36" s="80">
        <v>34650000</v>
      </c>
      <c r="N36" s="60">
        <f t="shared" si="8"/>
        <v>450000</v>
      </c>
      <c r="O36" s="80">
        <f>8550000+520000+450000</f>
        <v>9520000</v>
      </c>
      <c r="P36" s="60">
        <f t="shared" si="24"/>
        <v>453333.33333333331</v>
      </c>
      <c r="Q36" s="80"/>
      <c r="R36" s="60"/>
      <c r="S36" s="80">
        <f>3150000+1560000</f>
        <v>4710000</v>
      </c>
      <c r="T36" s="60">
        <f t="shared" si="25"/>
        <v>471000</v>
      </c>
      <c r="U36" s="80">
        <f>12150000+3120000</f>
        <v>15270000</v>
      </c>
      <c r="V36" s="60">
        <f t="shared" si="26"/>
        <v>462727.27272727271</v>
      </c>
      <c r="W36" s="80"/>
      <c r="X36" s="60"/>
      <c r="Y36" s="80"/>
      <c r="Z36" s="60"/>
      <c r="AA36" s="80">
        <v>9450000</v>
      </c>
      <c r="AB36" s="60">
        <f t="shared" si="10"/>
        <v>450000</v>
      </c>
      <c r="AC36" s="64"/>
      <c r="AD36" s="60"/>
      <c r="AE36" s="64"/>
      <c r="AF36" s="60"/>
      <c r="AG36" s="60"/>
      <c r="AH36" s="60"/>
      <c r="AI36" s="65"/>
      <c r="AJ36" s="60"/>
      <c r="AK36" s="65"/>
      <c r="AL36" s="60"/>
      <c r="AM36" s="65">
        <v>8130000</v>
      </c>
      <c r="AN36" s="60">
        <f t="shared" si="27"/>
        <v>478235.29411764705</v>
      </c>
      <c r="AO36" s="65"/>
      <c r="AP36" s="79"/>
      <c r="AQ36" s="65">
        <v>227055000</v>
      </c>
      <c r="AR36" s="60">
        <f t="shared" si="13"/>
        <v>475010.46025104605</v>
      </c>
      <c r="AS36" s="64">
        <v>8075000</v>
      </c>
      <c r="AT36" s="60">
        <f t="shared" si="29"/>
        <v>475000</v>
      </c>
      <c r="AU36" s="80"/>
      <c r="AV36" s="60"/>
      <c r="AW36" s="64"/>
      <c r="AX36" s="60"/>
      <c r="AY36" s="64"/>
      <c r="AZ36" s="60"/>
      <c r="BA36" s="65"/>
      <c r="BB36" s="60"/>
      <c r="BC36" s="65"/>
      <c r="BD36" s="79"/>
      <c r="BE36" s="65"/>
      <c r="BF36" s="60"/>
      <c r="BG36" s="65">
        <f>18460000+470000+475000+1410000</f>
        <v>20815000</v>
      </c>
      <c r="BH36" s="60">
        <f t="shared" si="14"/>
        <v>462555.55555555556</v>
      </c>
      <c r="BI36" s="65"/>
      <c r="BJ36" s="79"/>
      <c r="BK36" s="65"/>
      <c r="BL36" s="79"/>
      <c r="BM36" s="65"/>
      <c r="BN36" s="60"/>
      <c r="BO36" s="65"/>
      <c r="BP36" s="60"/>
      <c r="BQ36" s="20">
        <f t="shared" si="6"/>
        <v>383770000</v>
      </c>
      <c r="BR36" s="20">
        <f t="shared" si="15"/>
        <v>468012.19512195123</v>
      </c>
    </row>
    <row r="37" spans="1:73" s="4" customFormat="1" x14ac:dyDescent="0.25">
      <c r="A37" s="33" t="s">
        <v>58</v>
      </c>
      <c r="B37" s="34" t="s">
        <v>59</v>
      </c>
      <c r="C37" s="64">
        <f>2580000+3155000</f>
        <v>5735000</v>
      </c>
      <c r="D37" s="60">
        <f t="shared" si="33"/>
        <v>573500</v>
      </c>
      <c r="E37" s="60"/>
      <c r="F37" s="60"/>
      <c r="G37" s="64">
        <f>9410000+2000000</f>
        <v>11410000</v>
      </c>
      <c r="H37" s="60">
        <f t="shared" si="16"/>
        <v>518636.36363636365</v>
      </c>
      <c r="I37" s="64"/>
      <c r="J37" s="60"/>
      <c r="K37" s="64"/>
      <c r="L37" s="60"/>
      <c r="M37" s="80"/>
      <c r="N37" s="60"/>
      <c r="O37" s="80"/>
      <c r="P37" s="60"/>
      <c r="Q37" s="80"/>
      <c r="R37" s="60"/>
      <c r="S37" s="80"/>
      <c r="T37" s="60"/>
      <c r="U37" s="80"/>
      <c r="V37" s="60"/>
      <c r="W37" s="80"/>
      <c r="X37" s="60"/>
      <c r="Y37" s="80">
        <f>8140000+3640000</f>
        <v>11780000</v>
      </c>
      <c r="Z37" s="60">
        <f t="shared" si="2"/>
        <v>512173.91304347827</v>
      </c>
      <c r="AA37" s="80">
        <v>10200000</v>
      </c>
      <c r="AB37" s="60">
        <f t="shared" si="10"/>
        <v>510000</v>
      </c>
      <c r="AC37" s="64"/>
      <c r="AD37" s="60"/>
      <c r="AE37" s="64">
        <v>134700000</v>
      </c>
      <c r="AF37" s="60">
        <f t="shared" si="11"/>
        <v>516091.9540229885</v>
      </c>
      <c r="AG37" s="60">
        <f>11440000+2520000</f>
        <v>13960000</v>
      </c>
      <c r="AH37" s="60">
        <f t="shared" si="12"/>
        <v>536923.07692307688</v>
      </c>
      <c r="AI37" s="65"/>
      <c r="AJ37" s="60"/>
      <c r="AK37" s="65">
        <f>15950000+2730000+500000</f>
        <v>19180000</v>
      </c>
      <c r="AL37" s="60">
        <f t="shared" si="21"/>
        <v>548000</v>
      </c>
      <c r="AM37" s="65"/>
      <c r="AN37" s="60"/>
      <c r="AO37" s="65"/>
      <c r="AP37" s="79"/>
      <c r="AQ37" s="65"/>
      <c r="AR37" s="60"/>
      <c r="AS37" s="64"/>
      <c r="AT37" s="60"/>
      <c r="AU37" s="64">
        <f>18495000+3920000</f>
        <v>22415000</v>
      </c>
      <c r="AV37" s="60">
        <f t="shared" si="22"/>
        <v>533690.47619047621</v>
      </c>
      <c r="AW37" s="64">
        <v>15290000</v>
      </c>
      <c r="AX37" s="60">
        <f t="shared" si="30"/>
        <v>509666.66666666669</v>
      </c>
      <c r="AY37" s="64">
        <v>20260000</v>
      </c>
      <c r="AZ37" s="60">
        <f t="shared" si="4"/>
        <v>519487.1794871795</v>
      </c>
      <c r="BA37" s="65">
        <v>84980000</v>
      </c>
      <c r="BB37" s="60">
        <f t="shared" si="5"/>
        <v>544743.58974358975</v>
      </c>
      <c r="BC37" s="65">
        <f>11390000+2320000</f>
        <v>13710000</v>
      </c>
      <c r="BD37" s="79">
        <f t="shared" si="18"/>
        <v>527307.69230769225</v>
      </c>
      <c r="BE37" s="65"/>
      <c r="BF37" s="60"/>
      <c r="BG37" s="65">
        <f>50560000+520000</f>
        <v>51080000</v>
      </c>
      <c r="BH37" s="60">
        <f t="shared" si="14"/>
        <v>537684.21052631584</v>
      </c>
      <c r="BI37" s="65"/>
      <c r="BJ37" s="79"/>
      <c r="BK37" s="65"/>
      <c r="BL37" s="79"/>
      <c r="BM37" s="65"/>
      <c r="BN37" s="60"/>
      <c r="BO37" s="65">
        <v>34460000</v>
      </c>
      <c r="BP37" s="60">
        <f t="shared" si="19"/>
        <v>514328.35820895521</v>
      </c>
      <c r="BQ37" s="20">
        <f t="shared" si="6"/>
        <v>449160000</v>
      </c>
      <c r="BR37" s="20">
        <f t="shared" si="15"/>
        <v>527183.09859154932</v>
      </c>
    </row>
    <row r="38" spans="1:73" s="4" customFormat="1" x14ac:dyDescent="0.25">
      <c r="A38" s="33"/>
      <c r="B38" s="34" t="s">
        <v>60</v>
      </c>
      <c r="C38" s="64"/>
      <c r="D38" s="60"/>
      <c r="E38" s="60">
        <f>4625000+3500000</f>
        <v>8125000</v>
      </c>
      <c r="F38" s="60">
        <f t="shared" si="23"/>
        <v>677083.33333333337</v>
      </c>
      <c r="G38" s="64">
        <f>42460000+1400000</f>
        <v>43860000</v>
      </c>
      <c r="H38" s="60">
        <f t="shared" si="16"/>
        <v>609166.66666666663</v>
      </c>
      <c r="I38" s="64">
        <v>26000000</v>
      </c>
      <c r="J38" s="60">
        <f t="shared" si="7"/>
        <v>650000</v>
      </c>
      <c r="K38" s="64"/>
      <c r="L38" s="60"/>
      <c r="M38" s="80">
        <f>77980000+650000</f>
        <v>78630000</v>
      </c>
      <c r="N38" s="60">
        <f t="shared" si="8"/>
        <v>639268.29268292687</v>
      </c>
      <c r="O38" s="80">
        <f>16900000+4200000</f>
        <v>21100000</v>
      </c>
      <c r="P38" s="60">
        <f t="shared" si="24"/>
        <v>659375</v>
      </c>
      <c r="Q38" s="80"/>
      <c r="R38" s="60"/>
      <c r="S38" s="80">
        <v>15600000</v>
      </c>
      <c r="T38" s="60">
        <f t="shared" si="25"/>
        <v>678260.86956521741</v>
      </c>
      <c r="U38" s="80">
        <v>13110000</v>
      </c>
      <c r="V38" s="60">
        <f t="shared" si="26"/>
        <v>690000</v>
      </c>
      <c r="W38" s="80"/>
      <c r="X38" s="60"/>
      <c r="Y38" s="80">
        <v>8100000</v>
      </c>
      <c r="Z38" s="60">
        <f t="shared" si="2"/>
        <v>675000</v>
      </c>
      <c r="AA38" s="80">
        <f>9770000+750000+1950000</f>
        <v>12470000</v>
      </c>
      <c r="AB38" s="60">
        <f t="shared" si="10"/>
        <v>656315.78947368416</v>
      </c>
      <c r="AC38" s="64"/>
      <c r="AD38" s="60"/>
      <c r="AE38" s="64"/>
      <c r="AF38" s="60"/>
      <c r="AG38" s="60"/>
      <c r="AH38" s="60"/>
      <c r="AI38" s="65"/>
      <c r="AJ38" s="60"/>
      <c r="AK38" s="65"/>
      <c r="AL38" s="60"/>
      <c r="AM38" s="65">
        <f>2700000+4200000</f>
        <v>6900000</v>
      </c>
      <c r="AN38" s="60">
        <f t="shared" si="27"/>
        <v>627272.72727272729</v>
      </c>
      <c r="AO38" s="65"/>
      <c r="AP38" s="79"/>
      <c r="AQ38" s="65"/>
      <c r="AR38" s="60"/>
      <c r="AS38" s="64"/>
      <c r="AT38" s="60"/>
      <c r="AU38" s="64"/>
      <c r="AV38" s="60"/>
      <c r="AW38" s="64">
        <v>8540000</v>
      </c>
      <c r="AX38" s="60">
        <f t="shared" si="30"/>
        <v>610000</v>
      </c>
      <c r="AY38" s="64">
        <v>56760000</v>
      </c>
      <c r="AZ38" s="60">
        <f t="shared" si="4"/>
        <v>645000</v>
      </c>
      <c r="BA38" s="65">
        <v>39150000</v>
      </c>
      <c r="BB38" s="60">
        <f t="shared" si="5"/>
        <v>675000</v>
      </c>
      <c r="BC38" s="65">
        <f>43860000+6000000</f>
        <v>49860000</v>
      </c>
      <c r="BD38" s="79">
        <f t="shared" si="18"/>
        <v>647532.46753246756</v>
      </c>
      <c r="BE38" s="65"/>
      <c r="BF38" s="60"/>
      <c r="BG38" s="65">
        <f>33600000+3600000</f>
        <v>37200000</v>
      </c>
      <c r="BH38" s="60">
        <f t="shared" si="14"/>
        <v>600000</v>
      </c>
      <c r="BI38" s="65"/>
      <c r="BJ38" s="79"/>
      <c r="BK38" s="65"/>
      <c r="BL38" s="79"/>
      <c r="BM38" s="65">
        <v>17350000</v>
      </c>
      <c r="BN38" s="60">
        <f t="shared" si="32"/>
        <v>667307.69230769225</v>
      </c>
      <c r="BO38" s="65"/>
      <c r="BP38" s="60"/>
      <c r="BQ38" s="20">
        <f t="shared" si="6"/>
        <v>442755000</v>
      </c>
      <c r="BR38" s="20">
        <f t="shared" si="15"/>
        <v>643539.24418604653</v>
      </c>
    </row>
    <row r="39" spans="1:73" s="4" customFormat="1" x14ac:dyDescent="0.25">
      <c r="A39" s="33"/>
      <c r="B39" s="34" t="s">
        <v>61</v>
      </c>
      <c r="C39" s="64"/>
      <c r="D39" s="60"/>
      <c r="E39" s="60"/>
      <c r="F39" s="60"/>
      <c r="G39" s="64"/>
      <c r="H39" s="60"/>
      <c r="I39" s="64"/>
      <c r="J39" s="60"/>
      <c r="K39" s="64"/>
      <c r="L39" s="60"/>
      <c r="M39" s="80">
        <v>7860000</v>
      </c>
      <c r="N39" s="60">
        <f t="shared" si="8"/>
        <v>714545.45454545459</v>
      </c>
      <c r="O39" s="80"/>
      <c r="P39" s="60"/>
      <c r="Q39" s="80"/>
      <c r="R39" s="60"/>
      <c r="S39" s="80">
        <v>14000000</v>
      </c>
      <c r="T39" s="60">
        <f t="shared" si="25"/>
        <v>700000</v>
      </c>
      <c r="U39" s="80">
        <v>7700000</v>
      </c>
      <c r="V39" s="60">
        <f t="shared" si="26"/>
        <v>700000</v>
      </c>
      <c r="W39" s="80"/>
      <c r="X39" s="60"/>
      <c r="Y39" s="80">
        <f>13500000+6750000</f>
        <v>20250000</v>
      </c>
      <c r="Z39" s="60">
        <f t="shared" si="2"/>
        <v>750000</v>
      </c>
      <c r="AA39" s="80"/>
      <c r="AB39" s="60"/>
      <c r="AC39" s="64"/>
      <c r="AD39" s="60"/>
      <c r="AE39" s="64">
        <v>21750000</v>
      </c>
      <c r="AF39" s="60">
        <f t="shared" si="11"/>
        <v>750000</v>
      </c>
      <c r="AG39" s="60">
        <v>7500000</v>
      </c>
      <c r="AH39" s="60">
        <f t="shared" si="12"/>
        <v>750000</v>
      </c>
      <c r="AI39" s="65"/>
      <c r="AJ39" s="60"/>
      <c r="AK39" s="65">
        <f>14800000+850000</f>
        <v>15650000</v>
      </c>
      <c r="AL39" s="60">
        <f t="shared" si="21"/>
        <v>745238.09523809527</v>
      </c>
      <c r="AM39" s="65">
        <f>45600000+1600000</f>
        <v>47200000</v>
      </c>
      <c r="AN39" s="60">
        <f t="shared" si="27"/>
        <v>715151.51515151514</v>
      </c>
      <c r="AO39" s="65">
        <v>24520000</v>
      </c>
      <c r="AP39" s="79">
        <f t="shared" si="28"/>
        <v>721176.4705882353</v>
      </c>
      <c r="AQ39" s="65">
        <v>101260000</v>
      </c>
      <c r="AR39" s="60">
        <f t="shared" si="13"/>
        <v>718156.02836879436</v>
      </c>
      <c r="AS39" s="64">
        <f>66680000+1700000+3750000</f>
        <v>72130000</v>
      </c>
      <c r="AT39" s="60">
        <f t="shared" si="29"/>
        <v>714158.41584158421</v>
      </c>
      <c r="AU39" s="64"/>
      <c r="AV39" s="60"/>
      <c r="AW39" s="64"/>
      <c r="AX39" s="60"/>
      <c r="AY39" s="64">
        <f>63380000+750000</f>
        <v>64130000</v>
      </c>
      <c r="AZ39" s="60">
        <f t="shared" si="4"/>
        <v>763452.38095238095</v>
      </c>
      <c r="BA39" s="81"/>
      <c r="BB39" s="60"/>
      <c r="BC39" s="65"/>
      <c r="BD39" s="79"/>
      <c r="BE39" s="65"/>
      <c r="BF39" s="60"/>
      <c r="BG39" s="82"/>
      <c r="BH39" s="83"/>
      <c r="BI39" s="65"/>
      <c r="BJ39" s="79"/>
      <c r="BK39" s="65"/>
      <c r="BL39" s="79"/>
      <c r="BM39" s="65"/>
      <c r="BN39" s="60"/>
      <c r="BO39" s="65"/>
      <c r="BP39" s="60"/>
      <c r="BQ39" s="20">
        <f t="shared" si="6"/>
        <v>403950000</v>
      </c>
      <c r="BR39" s="20">
        <f t="shared" si="15"/>
        <v>727837.83783783787</v>
      </c>
    </row>
    <row r="40" spans="1:73" s="4" customFormat="1" x14ac:dyDescent="0.25">
      <c r="A40" s="33"/>
      <c r="B40" s="34" t="s">
        <v>62</v>
      </c>
      <c r="C40" s="64"/>
      <c r="D40" s="60"/>
      <c r="E40" s="60"/>
      <c r="F40" s="60"/>
      <c r="G40" s="64">
        <f>22625000+3200000</f>
        <v>25825000</v>
      </c>
      <c r="H40" s="60">
        <f t="shared" si="16"/>
        <v>833064.51612903224</v>
      </c>
      <c r="I40" s="64">
        <v>9250000</v>
      </c>
      <c r="J40" s="60">
        <f t="shared" si="7"/>
        <v>840909.09090909094</v>
      </c>
      <c r="K40" s="64"/>
      <c r="L40" s="60"/>
      <c r="M40" s="80">
        <f>16800000+6400000</f>
        <v>23200000</v>
      </c>
      <c r="N40" s="60">
        <f t="shared" si="8"/>
        <v>800000</v>
      </c>
      <c r="O40" s="80">
        <v>9600000</v>
      </c>
      <c r="P40" s="60">
        <f t="shared" si="24"/>
        <v>800000</v>
      </c>
      <c r="Q40" s="80"/>
      <c r="R40" s="60"/>
      <c r="S40" s="80"/>
      <c r="T40" s="60"/>
      <c r="U40" s="80">
        <f>20980000+6440000+800000+800000</f>
        <v>29020000</v>
      </c>
      <c r="V40" s="60">
        <f t="shared" si="26"/>
        <v>806111.11111111112</v>
      </c>
      <c r="W40" s="80"/>
      <c r="X40" s="60"/>
      <c r="Y40" s="80"/>
      <c r="Z40" s="60"/>
      <c r="AA40" s="80"/>
      <c r="AB40" s="60"/>
      <c r="AC40" s="64"/>
      <c r="AD40" s="60"/>
      <c r="AE40" s="64"/>
      <c r="AF40" s="60"/>
      <c r="AG40" s="60"/>
      <c r="AH40" s="60"/>
      <c r="AI40" s="65"/>
      <c r="AJ40" s="60"/>
      <c r="AK40" s="65"/>
      <c r="AL40" s="60"/>
      <c r="AM40" s="65"/>
      <c r="AN40" s="60"/>
      <c r="AO40" s="65"/>
      <c r="AP40" s="79"/>
      <c r="AQ40" s="65"/>
      <c r="AR40" s="60"/>
      <c r="AS40" s="64"/>
      <c r="AT40" s="60"/>
      <c r="AU40" s="64">
        <f>6400000+4000000</f>
        <v>10400000</v>
      </c>
      <c r="AV40" s="60">
        <f t="shared" si="22"/>
        <v>800000</v>
      </c>
      <c r="AW40" s="64"/>
      <c r="AX40" s="60"/>
      <c r="AY40" s="64">
        <f>7200000+4000000</f>
        <v>11200000</v>
      </c>
      <c r="AZ40" s="60">
        <f t="shared" si="4"/>
        <v>800000</v>
      </c>
      <c r="BA40" s="81"/>
      <c r="BB40" s="60"/>
      <c r="BC40" s="65">
        <f>8000000+800000+1600000+4800000</f>
        <v>15200000</v>
      </c>
      <c r="BD40" s="79">
        <f t="shared" si="18"/>
        <v>800000</v>
      </c>
      <c r="BE40" s="65"/>
      <c r="BF40" s="60"/>
      <c r="BG40" s="65"/>
      <c r="BH40" s="60"/>
      <c r="BI40" s="65"/>
      <c r="BJ40" s="79"/>
      <c r="BK40" s="65"/>
      <c r="BL40" s="79"/>
      <c r="BM40" s="65"/>
      <c r="BN40" s="60"/>
      <c r="BO40" s="65"/>
      <c r="BP40" s="60"/>
      <c r="BQ40" s="20">
        <f t="shared" si="6"/>
        <v>133695000</v>
      </c>
      <c r="BR40" s="20">
        <f t="shared" si="15"/>
        <v>810272.72727272729</v>
      </c>
    </row>
    <row r="41" spans="1:73" s="4" customFormat="1" x14ac:dyDescent="0.25">
      <c r="A41" s="33"/>
      <c r="B41" s="34" t="s">
        <v>63</v>
      </c>
      <c r="C41" s="64"/>
      <c r="D41" s="60"/>
      <c r="E41" s="60"/>
      <c r="F41" s="60"/>
      <c r="G41" s="64"/>
      <c r="H41" s="60"/>
      <c r="I41" s="64"/>
      <c r="J41" s="60"/>
      <c r="K41" s="64"/>
      <c r="L41" s="60"/>
      <c r="M41" s="80">
        <f>2850000+2850000+950000+3800000</f>
        <v>10450000</v>
      </c>
      <c r="N41" s="60">
        <f t="shared" si="8"/>
        <v>950000</v>
      </c>
      <c r="O41" s="80"/>
      <c r="P41" s="60"/>
      <c r="Q41" s="80"/>
      <c r="R41" s="60"/>
      <c r="S41" s="80"/>
      <c r="T41" s="60"/>
      <c r="U41" s="80"/>
      <c r="V41" s="60"/>
      <c r="W41" s="80"/>
      <c r="X41" s="60"/>
      <c r="Y41" s="80"/>
      <c r="Z41" s="60"/>
      <c r="AA41" s="80"/>
      <c r="AB41" s="60"/>
      <c r="AC41" s="64"/>
      <c r="AD41" s="60"/>
      <c r="AE41" s="64"/>
      <c r="AF41" s="60"/>
      <c r="AG41" s="60"/>
      <c r="AH41" s="60"/>
      <c r="AI41" s="65"/>
      <c r="AJ41" s="60"/>
      <c r="AK41" s="65"/>
      <c r="AL41" s="60"/>
      <c r="AM41" s="65"/>
      <c r="AN41" s="60"/>
      <c r="AO41" s="65"/>
      <c r="AP41" s="79"/>
      <c r="AQ41" s="65"/>
      <c r="AR41" s="60"/>
      <c r="AS41" s="64"/>
      <c r="AT41" s="60"/>
      <c r="AU41" s="80"/>
      <c r="AV41" s="60"/>
      <c r="AW41" s="64"/>
      <c r="AX41" s="60"/>
      <c r="AY41" s="64"/>
      <c r="AZ41" s="60"/>
      <c r="BA41" s="65"/>
      <c r="BB41" s="60"/>
      <c r="BC41" s="65"/>
      <c r="BD41" s="79"/>
      <c r="BE41" s="65"/>
      <c r="BF41" s="60"/>
      <c r="BG41" s="65"/>
      <c r="BH41" s="60"/>
      <c r="BI41" s="65"/>
      <c r="BJ41" s="79"/>
      <c r="BK41" s="65"/>
      <c r="BL41" s="79"/>
      <c r="BM41" s="65"/>
      <c r="BN41" s="60"/>
      <c r="BO41" s="65"/>
      <c r="BP41" s="60"/>
      <c r="BQ41" s="20">
        <f t="shared" si="6"/>
        <v>10450000</v>
      </c>
      <c r="BR41" s="20">
        <f t="shared" si="15"/>
        <v>950000</v>
      </c>
    </row>
    <row r="42" spans="1:73" s="4" customFormat="1" ht="15.75" thickBot="1" x14ac:dyDescent="0.3">
      <c r="A42" s="33" t="s">
        <v>64</v>
      </c>
      <c r="B42" s="34" t="s">
        <v>64</v>
      </c>
      <c r="C42" s="64"/>
      <c r="D42" s="60"/>
      <c r="E42" s="60"/>
      <c r="F42" s="60"/>
      <c r="G42" s="64"/>
      <c r="H42" s="60"/>
      <c r="I42" s="64">
        <f>9050000+4650000+3550000+6200000</f>
        <v>23450000</v>
      </c>
      <c r="J42" s="60">
        <f t="shared" si="7"/>
        <v>1172500</v>
      </c>
      <c r="K42" s="64"/>
      <c r="L42" s="60"/>
      <c r="M42" s="80"/>
      <c r="N42" s="60"/>
      <c r="O42" s="80"/>
      <c r="P42" s="60"/>
      <c r="Q42" s="80"/>
      <c r="R42" s="60"/>
      <c r="S42" s="80"/>
      <c r="T42" s="60"/>
      <c r="U42" s="80">
        <f>5750000+1550000+3300000+1100000+3300000+1100000</f>
        <v>16100000</v>
      </c>
      <c r="V42" s="60">
        <f t="shared" si="26"/>
        <v>1238461.5384615385</v>
      </c>
      <c r="W42" s="80"/>
      <c r="X42" s="60"/>
      <c r="Y42" s="80"/>
      <c r="Z42" s="60"/>
      <c r="AA42" s="80"/>
      <c r="AB42" s="60"/>
      <c r="AC42" s="64"/>
      <c r="AD42" s="60"/>
      <c r="AE42" s="64"/>
      <c r="AF42" s="60"/>
      <c r="AG42" s="60"/>
      <c r="AH42" s="60"/>
      <c r="AI42" s="65"/>
      <c r="AJ42" s="60"/>
      <c r="AK42" s="65"/>
      <c r="AL42" s="60"/>
      <c r="AM42" s="65"/>
      <c r="AN42" s="60"/>
      <c r="AO42" s="65"/>
      <c r="AP42" s="79"/>
      <c r="AQ42" s="65">
        <f>7700000+6200000+1025000+1025000+2050000</f>
        <v>18000000</v>
      </c>
      <c r="AR42" s="60">
        <f t="shared" si="13"/>
        <v>1125000</v>
      </c>
      <c r="AS42" s="64"/>
      <c r="AT42" s="60"/>
      <c r="AU42" s="80"/>
      <c r="AV42" s="60"/>
      <c r="AW42" s="64"/>
      <c r="AX42" s="60"/>
      <c r="AY42" s="64"/>
      <c r="AZ42" s="60"/>
      <c r="BA42" s="65"/>
      <c r="BB42" s="60"/>
      <c r="BC42" s="65"/>
      <c r="BD42" s="79"/>
      <c r="BE42" s="65"/>
      <c r="BF42" s="60"/>
      <c r="BG42" s="65">
        <f>2200000+4800000+1200000+3500000+2625000+1450000</f>
        <v>15775000</v>
      </c>
      <c r="BH42" s="60">
        <f t="shared" si="14"/>
        <v>1213461.5384615385</v>
      </c>
      <c r="BI42" s="65"/>
      <c r="BJ42" s="79"/>
      <c r="BK42" s="65"/>
      <c r="BL42" s="79"/>
      <c r="BM42" s="65"/>
      <c r="BN42" s="60"/>
      <c r="BO42" s="65"/>
      <c r="BP42" s="60"/>
      <c r="BQ42" s="20">
        <f t="shared" si="6"/>
        <v>73325000</v>
      </c>
      <c r="BR42" s="20">
        <f t="shared" si="15"/>
        <v>1182661.2903225806</v>
      </c>
    </row>
    <row r="43" spans="1:73" s="4" customFormat="1" ht="15.75" thickBot="1" x14ac:dyDescent="0.3">
      <c r="A43" s="99" t="s">
        <v>0</v>
      </c>
      <c r="B43" s="100"/>
      <c r="C43" s="75">
        <f>SUM(C27:C42)</f>
        <v>19390000</v>
      </c>
      <c r="D43" s="75">
        <f>C43/C21</f>
        <v>440681.81818181818</v>
      </c>
      <c r="E43" s="75">
        <f>SUM(E27:E42)</f>
        <v>31335000</v>
      </c>
      <c r="F43" s="75">
        <f t="shared" si="23"/>
        <v>348166.66666666669</v>
      </c>
      <c r="G43" s="75">
        <f>SUM(G27:G42)</f>
        <v>752725000</v>
      </c>
      <c r="H43" s="75">
        <f t="shared" si="16"/>
        <v>342459.05368516833</v>
      </c>
      <c r="I43" s="75">
        <f>SUM(I27:I42)</f>
        <v>452950000</v>
      </c>
      <c r="J43" s="75">
        <f t="shared" si="7"/>
        <v>346292.04892966361</v>
      </c>
      <c r="K43" s="75">
        <f>SUM(K27:K42)</f>
        <v>54100000</v>
      </c>
      <c r="L43" s="75">
        <f t="shared" si="17"/>
        <v>327878.7878787879</v>
      </c>
      <c r="M43" s="75">
        <f>SUM(M27:M42)</f>
        <v>678435000</v>
      </c>
      <c r="N43" s="75">
        <f t="shared" si="8"/>
        <v>349889.11810211447</v>
      </c>
      <c r="O43" s="75">
        <f>SUM(O27:O42)</f>
        <v>44140000</v>
      </c>
      <c r="P43" s="75">
        <f t="shared" si="24"/>
        <v>573246.75324675324</v>
      </c>
      <c r="Q43" s="75">
        <f>SUM(Q27:Q42)</f>
        <v>0</v>
      </c>
      <c r="R43" s="75">
        <v>0</v>
      </c>
      <c r="S43" s="75">
        <f>SUM(S27:S42)</f>
        <v>67905000</v>
      </c>
      <c r="T43" s="75">
        <f t="shared" si="25"/>
        <v>471562.5</v>
      </c>
      <c r="U43" s="75">
        <f>SUM(U27:U42)</f>
        <v>130525000</v>
      </c>
      <c r="V43" s="75">
        <f t="shared" si="26"/>
        <v>546129.70711297076</v>
      </c>
      <c r="W43" s="75">
        <f>SUM(W27:W42)</f>
        <v>86700000</v>
      </c>
      <c r="X43" s="75">
        <f t="shared" si="9"/>
        <v>338671.875</v>
      </c>
      <c r="Y43" s="75">
        <f>SUM(Y27:Y42)</f>
        <v>92105000</v>
      </c>
      <c r="Z43" s="75">
        <f t="shared" si="2"/>
        <v>444951.69082125602</v>
      </c>
      <c r="AA43" s="75">
        <f>SUM(AA27:AA42)</f>
        <v>257215000</v>
      </c>
      <c r="AB43" s="75">
        <f t="shared" si="10"/>
        <v>361765.11954992969</v>
      </c>
      <c r="AC43" s="75">
        <f>SUM(AC27:AC42)</f>
        <v>567570000</v>
      </c>
      <c r="AD43" s="75">
        <f t="shared" si="3"/>
        <v>291510.01540832047</v>
      </c>
      <c r="AE43" s="75">
        <f>SUM(AE27:AE42)</f>
        <v>404240000</v>
      </c>
      <c r="AF43" s="75">
        <f t="shared" si="11"/>
        <v>380640.30131826742</v>
      </c>
      <c r="AG43" s="75">
        <f>SUM(AG27:AG42)</f>
        <v>121800000</v>
      </c>
      <c r="AH43" s="75">
        <f t="shared" si="12"/>
        <v>347008.547008547</v>
      </c>
      <c r="AI43" s="75">
        <f>SUM(AI27:AI42)</f>
        <v>85610000</v>
      </c>
      <c r="AJ43" s="75">
        <f t="shared" si="20"/>
        <v>314742.64705882355</v>
      </c>
      <c r="AK43" s="75">
        <f>SUM(AK27:AK42)</f>
        <v>46120000</v>
      </c>
      <c r="AL43" s="75">
        <f t="shared" si="21"/>
        <v>501304.34782608697</v>
      </c>
      <c r="AM43" s="75">
        <f>SUM(AM27:AM42)</f>
        <v>264050000</v>
      </c>
      <c r="AN43" s="75">
        <f t="shared" si="27"/>
        <v>396471.47147147148</v>
      </c>
      <c r="AO43" s="75">
        <f>SUM(AO27:AO42)</f>
        <v>46040000</v>
      </c>
      <c r="AP43" s="60">
        <f t="shared" si="28"/>
        <v>484631.57894736843</v>
      </c>
      <c r="AQ43" s="75">
        <f>SUM(AQ27:AQ42)</f>
        <v>401455000</v>
      </c>
      <c r="AR43" s="75">
        <f t="shared" si="13"/>
        <v>496850.24752475246</v>
      </c>
      <c r="AS43" s="75">
        <f>SUM(AS27:AS42)</f>
        <v>95895000</v>
      </c>
      <c r="AT43" s="75">
        <f t="shared" si="29"/>
        <v>584725.60975609755</v>
      </c>
      <c r="AU43" s="75">
        <f>SUM(AU27:AU42)</f>
        <v>90255000</v>
      </c>
      <c r="AV43" s="75">
        <f t="shared" si="22"/>
        <v>414013.76146788988</v>
      </c>
      <c r="AW43" s="75">
        <f>SUM(AW27:AW42)</f>
        <v>93640000</v>
      </c>
      <c r="AX43" s="75">
        <f t="shared" si="30"/>
        <v>382204.08163265308</v>
      </c>
      <c r="AY43" s="75">
        <f>SUM(AY27:AY42)</f>
        <v>184725000</v>
      </c>
      <c r="AZ43" s="75">
        <f t="shared" si="4"/>
        <v>548145.40059347183</v>
      </c>
      <c r="BA43" s="75">
        <f>SUM(BA27:BA42)</f>
        <v>271970000</v>
      </c>
      <c r="BB43" s="75">
        <f t="shared" si="5"/>
        <v>377736.11111111112</v>
      </c>
      <c r="BC43" s="75">
        <f>SUM(BC27:BC42)</f>
        <v>132340000</v>
      </c>
      <c r="BD43" s="75">
        <f t="shared" si="18"/>
        <v>482992.70072992699</v>
      </c>
      <c r="BE43" s="75">
        <f>SUM(BE27:BE42)</f>
        <v>5620000</v>
      </c>
      <c r="BF43" s="75">
        <f t="shared" si="31"/>
        <v>312222.22222222225</v>
      </c>
      <c r="BG43" s="75">
        <f>SUM(BG27:BG42)</f>
        <v>482885000</v>
      </c>
      <c r="BH43" s="75">
        <f t="shared" si="14"/>
        <v>366099.31766489765</v>
      </c>
      <c r="BI43" s="75">
        <v>0</v>
      </c>
      <c r="BJ43" s="75">
        <v>0</v>
      </c>
      <c r="BK43" s="75">
        <f>SUM(BK27:BK42)</f>
        <v>0</v>
      </c>
      <c r="BL43" s="75">
        <v>0</v>
      </c>
      <c r="BM43" s="75">
        <f>SUM(BM27:BM42)</f>
        <v>24850000</v>
      </c>
      <c r="BN43" s="75">
        <f t="shared" si="32"/>
        <v>487254.90196078434</v>
      </c>
      <c r="BO43" s="75">
        <f>SUM(BO27:BO42)</f>
        <v>375600000</v>
      </c>
      <c r="BP43" s="75">
        <f t="shared" si="19"/>
        <v>361849.71098265896</v>
      </c>
      <c r="BQ43" s="75">
        <f t="shared" si="6"/>
        <v>6362190000</v>
      </c>
      <c r="BR43" s="75">
        <f t="shared" si="15"/>
        <v>373039.5778364116</v>
      </c>
    </row>
    <row r="44" spans="1:73" s="4" customFormat="1" x14ac:dyDescent="0.25">
      <c r="A44"/>
      <c r="B44" s="1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</row>
    <row r="45" spans="1:73" s="4" customFormat="1" x14ac:dyDescent="0.2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</row>
    <row r="46" spans="1:73" s="4" customFormat="1" x14ac:dyDescent="0.25">
      <c r="A46"/>
      <c r="B46" s="2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</row>
    <row r="47" spans="1:73" s="4" customFormat="1" x14ac:dyDescent="0.25">
      <c r="A47" s="5"/>
      <c r="B47" s="5"/>
      <c r="BQ47" s="5"/>
    </row>
    <row r="48" spans="1:73" s="4" customFormat="1" ht="15.75" thickBot="1" x14ac:dyDescent="0.3">
      <c r="A48" s="94" t="s">
        <v>68</v>
      </c>
      <c r="B48" s="94"/>
      <c r="C48" s="94"/>
    </row>
    <row r="49" spans="1:70" s="4" customFormat="1" x14ac:dyDescent="0.25">
      <c r="A49" s="29"/>
      <c r="B49" s="51" t="s">
        <v>1</v>
      </c>
      <c r="C49" s="110" t="s">
        <v>5</v>
      </c>
      <c r="D49" s="111"/>
      <c r="E49" s="110" t="s">
        <v>6</v>
      </c>
      <c r="F49" s="111"/>
      <c r="G49" s="110" t="s">
        <v>7</v>
      </c>
      <c r="H49" s="112"/>
      <c r="I49" s="103" t="s">
        <v>8</v>
      </c>
      <c r="J49" s="104"/>
      <c r="K49" s="103" t="s">
        <v>9</v>
      </c>
      <c r="L49" s="104"/>
      <c r="M49" s="103" t="s">
        <v>10</v>
      </c>
      <c r="N49" s="104"/>
      <c r="O49" s="103" t="s">
        <v>11</v>
      </c>
      <c r="P49" s="104"/>
      <c r="Q49" s="105" t="s">
        <v>12</v>
      </c>
      <c r="R49" s="109"/>
      <c r="S49" s="103" t="s">
        <v>13</v>
      </c>
      <c r="T49" s="108"/>
      <c r="U49" s="103" t="s">
        <v>14</v>
      </c>
      <c r="V49" s="108"/>
      <c r="W49" s="103" t="s">
        <v>15</v>
      </c>
      <c r="X49" s="104"/>
      <c r="Y49" s="103" t="s">
        <v>16</v>
      </c>
      <c r="Z49" s="104"/>
      <c r="AA49" s="103" t="s">
        <v>17</v>
      </c>
      <c r="AB49" s="104"/>
      <c r="AC49" s="103" t="s">
        <v>18</v>
      </c>
      <c r="AD49" s="104"/>
      <c r="AE49" s="103" t="s">
        <v>19</v>
      </c>
      <c r="AF49" s="104"/>
      <c r="AG49" s="103" t="s">
        <v>20</v>
      </c>
      <c r="AH49" s="104"/>
      <c r="AI49" s="103" t="s">
        <v>21</v>
      </c>
      <c r="AJ49" s="104"/>
      <c r="AK49" s="103" t="s">
        <v>22</v>
      </c>
      <c r="AL49" s="108"/>
      <c r="AM49" s="103" t="s">
        <v>23</v>
      </c>
      <c r="AN49" s="104"/>
      <c r="AO49" s="103" t="s">
        <v>24</v>
      </c>
      <c r="AP49" s="104"/>
      <c r="AQ49" s="103" t="s">
        <v>25</v>
      </c>
      <c r="AR49" s="104"/>
      <c r="AS49" s="103" t="s">
        <v>26</v>
      </c>
      <c r="AT49" s="104"/>
      <c r="AU49" s="103" t="s">
        <v>27</v>
      </c>
      <c r="AV49" s="104"/>
      <c r="AW49" s="103" t="s">
        <v>28</v>
      </c>
      <c r="AX49" s="108"/>
      <c r="AY49" s="103" t="s">
        <v>29</v>
      </c>
      <c r="AZ49" s="104"/>
      <c r="BA49" s="103" t="s">
        <v>30</v>
      </c>
      <c r="BB49" s="104"/>
      <c r="BC49" s="103" t="s">
        <v>31</v>
      </c>
      <c r="BD49" s="104"/>
      <c r="BE49" s="103" t="s">
        <v>32</v>
      </c>
      <c r="BF49" s="104"/>
      <c r="BG49" s="103" t="s">
        <v>33</v>
      </c>
      <c r="BH49" s="108"/>
      <c r="BI49" s="105" t="s">
        <v>34</v>
      </c>
      <c r="BJ49" s="106"/>
      <c r="BK49" s="105" t="s">
        <v>86</v>
      </c>
      <c r="BL49" s="106"/>
      <c r="BM49" s="103" t="s">
        <v>35</v>
      </c>
      <c r="BN49" s="104"/>
      <c r="BO49" s="105" t="s">
        <v>36</v>
      </c>
      <c r="BP49" s="106"/>
      <c r="BQ49" s="105" t="s">
        <v>0</v>
      </c>
      <c r="BR49" s="106"/>
    </row>
    <row r="50" spans="1:70" s="4" customFormat="1" ht="15.75" thickBot="1" x14ac:dyDescent="0.3">
      <c r="A50" s="31" t="s">
        <v>39</v>
      </c>
      <c r="B50" s="52" t="s">
        <v>40</v>
      </c>
      <c r="C50" s="40" t="s">
        <v>69</v>
      </c>
      <c r="D50" s="39" t="s">
        <v>70</v>
      </c>
      <c r="E50" s="40" t="s">
        <v>69</v>
      </c>
      <c r="F50" s="39" t="s">
        <v>70</v>
      </c>
      <c r="G50" s="40" t="s">
        <v>69</v>
      </c>
      <c r="H50" s="39" t="s">
        <v>70</v>
      </c>
      <c r="I50" s="40" t="s">
        <v>69</v>
      </c>
      <c r="J50" s="41" t="s">
        <v>70</v>
      </c>
      <c r="K50" s="40" t="s">
        <v>69</v>
      </c>
      <c r="L50" s="39" t="s">
        <v>70</v>
      </c>
      <c r="M50" s="40" t="s">
        <v>69</v>
      </c>
      <c r="N50" s="39" t="s">
        <v>70</v>
      </c>
      <c r="O50" s="40" t="s">
        <v>69</v>
      </c>
      <c r="P50" s="39" t="s">
        <v>70</v>
      </c>
      <c r="Q50" s="42" t="s">
        <v>71</v>
      </c>
      <c r="R50" s="42" t="s">
        <v>72</v>
      </c>
      <c r="S50" s="40" t="s">
        <v>69</v>
      </c>
      <c r="T50" s="39" t="s">
        <v>70</v>
      </c>
      <c r="U50" s="40" t="s">
        <v>69</v>
      </c>
      <c r="V50" s="41" t="s">
        <v>70</v>
      </c>
      <c r="W50" s="40" t="s">
        <v>69</v>
      </c>
      <c r="X50" s="39" t="s">
        <v>70</v>
      </c>
      <c r="Y50" s="40" t="s">
        <v>69</v>
      </c>
      <c r="Z50" s="39" t="s">
        <v>70</v>
      </c>
      <c r="AA50" s="40" t="s">
        <v>69</v>
      </c>
      <c r="AB50" s="39" t="s">
        <v>70</v>
      </c>
      <c r="AC50" s="40" t="s">
        <v>69</v>
      </c>
      <c r="AD50" s="39" t="s">
        <v>70</v>
      </c>
      <c r="AE50" s="40" t="s">
        <v>69</v>
      </c>
      <c r="AF50" s="41" t="s">
        <v>70</v>
      </c>
      <c r="AG50" s="40" t="s">
        <v>69</v>
      </c>
      <c r="AH50" s="39" t="s">
        <v>70</v>
      </c>
      <c r="AI50" s="40" t="s">
        <v>69</v>
      </c>
      <c r="AJ50" s="39" t="s">
        <v>70</v>
      </c>
      <c r="AK50" s="40" t="s">
        <v>69</v>
      </c>
      <c r="AL50" s="39" t="s">
        <v>70</v>
      </c>
      <c r="AM50" s="40" t="s">
        <v>69</v>
      </c>
      <c r="AN50" s="39" t="s">
        <v>70</v>
      </c>
      <c r="AO50" s="40" t="s">
        <v>69</v>
      </c>
      <c r="AP50" s="39" t="s">
        <v>70</v>
      </c>
      <c r="AQ50" s="40" t="s">
        <v>69</v>
      </c>
      <c r="AR50" s="39" t="s">
        <v>70</v>
      </c>
      <c r="AS50" s="40" t="s">
        <v>69</v>
      </c>
      <c r="AT50" s="39" t="s">
        <v>70</v>
      </c>
      <c r="AU50" s="40" t="s">
        <v>69</v>
      </c>
      <c r="AV50" s="39" t="s">
        <v>70</v>
      </c>
      <c r="AW50" s="40" t="s">
        <v>69</v>
      </c>
      <c r="AX50" s="39" t="s">
        <v>70</v>
      </c>
      <c r="AY50" s="40" t="s">
        <v>69</v>
      </c>
      <c r="AZ50" s="41" t="s">
        <v>70</v>
      </c>
      <c r="BA50" s="40" t="s">
        <v>69</v>
      </c>
      <c r="BB50" s="39" t="s">
        <v>70</v>
      </c>
      <c r="BC50" s="40" t="s">
        <v>69</v>
      </c>
      <c r="BD50" s="39" t="s">
        <v>70</v>
      </c>
      <c r="BE50" s="40" t="s">
        <v>69</v>
      </c>
      <c r="BF50" s="39" t="s">
        <v>70</v>
      </c>
      <c r="BG50" s="40" t="s">
        <v>69</v>
      </c>
      <c r="BH50" s="39" t="s">
        <v>70</v>
      </c>
      <c r="BI50" s="40" t="s">
        <v>69</v>
      </c>
      <c r="BJ50" s="39" t="s">
        <v>70</v>
      </c>
      <c r="BK50" s="40" t="s">
        <v>69</v>
      </c>
      <c r="BL50" s="39" t="s">
        <v>70</v>
      </c>
      <c r="BM50" s="40" t="s">
        <v>69</v>
      </c>
      <c r="BN50" s="39" t="s">
        <v>70</v>
      </c>
      <c r="BO50" s="40" t="s">
        <v>69</v>
      </c>
      <c r="BP50" s="39" t="s">
        <v>70</v>
      </c>
      <c r="BQ50" s="40" t="s">
        <v>69</v>
      </c>
      <c r="BR50" s="39" t="s">
        <v>70</v>
      </c>
    </row>
    <row r="51" spans="1:70" s="4" customFormat="1" x14ac:dyDescent="0.25">
      <c r="A51" s="33" t="s">
        <v>43</v>
      </c>
      <c r="B51" s="34" t="s">
        <v>47</v>
      </c>
      <c r="C51" s="6"/>
      <c r="D51" s="7"/>
      <c r="E51" s="6"/>
      <c r="F51" s="7"/>
      <c r="G51" s="6"/>
      <c r="H51" s="7"/>
      <c r="I51" s="6"/>
      <c r="J51" s="8"/>
      <c r="K51" s="9"/>
      <c r="L51" s="10"/>
      <c r="M51" s="6"/>
      <c r="N51" s="7"/>
      <c r="O51" s="11"/>
      <c r="P51" s="8"/>
      <c r="Q51" s="9"/>
      <c r="R51" s="10"/>
      <c r="S51" s="12"/>
      <c r="T51" s="7"/>
      <c r="U51" s="6"/>
      <c r="V51" s="8"/>
      <c r="W51" s="6"/>
      <c r="X51" s="7"/>
      <c r="Y51" s="6"/>
      <c r="Z51" s="7"/>
      <c r="AA51" s="6"/>
      <c r="AB51" s="7"/>
      <c r="AC51" s="6"/>
      <c r="AD51" s="7"/>
      <c r="AE51" s="6"/>
      <c r="AF51" s="8"/>
      <c r="AG51" s="6"/>
      <c r="AH51" s="7"/>
      <c r="AI51" s="6"/>
      <c r="AJ51" s="7"/>
      <c r="AK51" s="6"/>
      <c r="AL51" s="7"/>
      <c r="AM51" s="6"/>
      <c r="AN51" s="7"/>
      <c r="AO51" s="6"/>
      <c r="AP51" s="7"/>
      <c r="AQ51" s="6"/>
      <c r="AR51" s="7"/>
      <c r="AS51" s="6"/>
      <c r="AT51" s="7"/>
      <c r="AU51" s="6"/>
      <c r="AV51" s="7"/>
      <c r="AW51" s="6"/>
      <c r="AX51" s="7"/>
      <c r="AY51" s="6"/>
      <c r="AZ51" s="8"/>
      <c r="BA51" s="6"/>
      <c r="BB51" s="7"/>
      <c r="BC51" s="6"/>
      <c r="BD51" s="7"/>
      <c r="BE51" s="6"/>
      <c r="BF51" s="7"/>
      <c r="BG51" s="6"/>
      <c r="BH51" s="7"/>
      <c r="BI51" s="6"/>
      <c r="BJ51" s="7"/>
      <c r="BK51" s="6"/>
      <c r="BL51" s="7"/>
      <c r="BM51" s="6"/>
      <c r="BN51" s="7"/>
      <c r="BO51" s="6"/>
      <c r="BP51" s="7"/>
      <c r="BQ51" s="6">
        <v>0</v>
      </c>
      <c r="BR51" s="7">
        <v>0</v>
      </c>
    </row>
    <row r="52" spans="1:70" s="4" customFormat="1" x14ac:dyDescent="0.25">
      <c r="A52" s="33"/>
      <c r="B52" s="43" t="s">
        <v>48</v>
      </c>
      <c r="C52" s="6"/>
      <c r="D52" s="7"/>
      <c r="E52" s="6"/>
      <c r="F52" s="7"/>
      <c r="G52" s="6"/>
      <c r="H52" s="7"/>
      <c r="I52" s="6"/>
      <c r="J52" s="8"/>
      <c r="K52" s="13"/>
      <c r="L52" s="14"/>
      <c r="M52" s="6"/>
      <c r="N52" s="7"/>
      <c r="O52" s="11"/>
      <c r="P52" s="8"/>
      <c r="Q52" s="13"/>
      <c r="R52" s="14"/>
      <c r="S52" s="12"/>
      <c r="T52" s="7"/>
      <c r="U52" s="6"/>
      <c r="V52" s="8"/>
      <c r="W52" s="6"/>
      <c r="X52" s="7"/>
      <c r="Y52" s="6">
        <v>1</v>
      </c>
      <c r="Z52" s="7">
        <v>0</v>
      </c>
      <c r="AA52" s="6"/>
      <c r="AB52" s="7"/>
      <c r="AC52" s="6">
        <v>0.95744680851063835</v>
      </c>
      <c r="AD52" s="7">
        <v>4.2553191489361701E-2</v>
      </c>
      <c r="AE52" s="6"/>
      <c r="AF52" s="8"/>
      <c r="AG52" s="6"/>
      <c r="AH52" s="7"/>
      <c r="AI52" s="6"/>
      <c r="AJ52" s="7"/>
      <c r="AK52" s="6"/>
      <c r="AL52" s="7"/>
      <c r="AM52" s="6"/>
      <c r="AN52" s="7"/>
      <c r="AO52" s="6"/>
      <c r="AP52" s="7"/>
      <c r="AQ52" s="6"/>
      <c r="AR52" s="7"/>
      <c r="AS52" s="6"/>
      <c r="AT52" s="7"/>
      <c r="AU52" s="6"/>
      <c r="AV52" s="7"/>
      <c r="AW52" s="6"/>
      <c r="AX52" s="7"/>
      <c r="AY52" s="6">
        <v>1</v>
      </c>
      <c r="AZ52" s="8">
        <v>0</v>
      </c>
      <c r="BA52" s="6">
        <v>0.98496240601503759</v>
      </c>
      <c r="BB52" s="7">
        <v>1.5037593984962405E-2</v>
      </c>
      <c r="BC52" s="6"/>
      <c r="BD52" s="7"/>
      <c r="BE52" s="6"/>
      <c r="BF52" s="7"/>
      <c r="BG52" s="6"/>
      <c r="BH52" s="7"/>
      <c r="BI52" s="6"/>
      <c r="BJ52" s="7"/>
      <c r="BK52" s="6"/>
      <c r="BL52" s="7"/>
      <c r="BM52" s="6"/>
      <c r="BN52" s="7"/>
      <c r="BO52" s="6"/>
      <c r="BP52" s="7"/>
      <c r="BQ52" s="6">
        <v>0.97752808988764039</v>
      </c>
      <c r="BR52" s="7">
        <v>2.247191011235955E-2</v>
      </c>
    </row>
    <row r="53" spans="1:70" s="4" customFormat="1" x14ac:dyDescent="0.25">
      <c r="A53" s="33"/>
      <c r="B53" s="34" t="s">
        <v>49</v>
      </c>
      <c r="C53" s="6"/>
      <c r="D53" s="7"/>
      <c r="E53" s="6"/>
      <c r="F53" s="7"/>
      <c r="G53" s="6"/>
      <c r="H53" s="7"/>
      <c r="I53" s="6">
        <v>1</v>
      </c>
      <c r="J53" s="8">
        <v>0</v>
      </c>
      <c r="K53" s="15"/>
      <c r="L53" s="7"/>
      <c r="M53" s="6">
        <v>1</v>
      </c>
      <c r="N53" s="7">
        <v>0</v>
      </c>
      <c r="O53" s="6"/>
      <c r="P53" s="8"/>
      <c r="Q53" s="6"/>
      <c r="R53" s="7"/>
      <c r="S53" s="12"/>
      <c r="T53" s="7"/>
      <c r="U53" s="6"/>
      <c r="V53" s="8"/>
      <c r="W53" s="6">
        <v>1</v>
      </c>
      <c r="X53" s="7">
        <v>0</v>
      </c>
      <c r="Y53" s="6"/>
      <c r="Z53" s="7"/>
      <c r="AA53" s="6">
        <v>1</v>
      </c>
      <c r="AB53" s="7">
        <v>0</v>
      </c>
      <c r="AC53" s="6">
        <v>0.94941634241245132</v>
      </c>
      <c r="AD53" s="7">
        <v>5.0583657587548639E-2</v>
      </c>
      <c r="AE53" s="6">
        <v>0.94871794871794868</v>
      </c>
      <c r="AF53" s="8">
        <v>5.128205128205128E-2</v>
      </c>
      <c r="AG53" s="6">
        <v>0.967741935483871</v>
      </c>
      <c r="AH53" s="7">
        <v>3.2258064516129031E-2</v>
      </c>
      <c r="AI53" s="6"/>
      <c r="AJ53" s="7"/>
      <c r="AK53" s="6"/>
      <c r="AL53" s="7"/>
      <c r="AM53" s="6"/>
      <c r="AN53" s="7"/>
      <c r="AO53" s="6"/>
      <c r="AP53" s="7"/>
      <c r="AQ53" s="6">
        <v>1</v>
      </c>
      <c r="AR53" s="7">
        <v>0</v>
      </c>
      <c r="AS53" s="6"/>
      <c r="AT53" s="7"/>
      <c r="AU53" s="6"/>
      <c r="AV53" s="7"/>
      <c r="AW53" s="6"/>
      <c r="AX53" s="7"/>
      <c r="AY53" s="6"/>
      <c r="AZ53" s="8"/>
      <c r="BA53" s="6"/>
      <c r="BB53" s="7"/>
      <c r="BC53" s="6"/>
      <c r="BD53" s="7"/>
      <c r="BE53" s="6"/>
      <c r="BF53" s="7"/>
      <c r="BG53" s="6">
        <v>1</v>
      </c>
      <c r="BH53" s="7">
        <v>0</v>
      </c>
      <c r="BI53" s="6"/>
      <c r="BJ53" s="7"/>
      <c r="BK53" s="6"/>
      <c r="BL53" s="7"/>
      <c r="BM53" s="6"/>
      <c r="BN53" s="7"/>
      <c r="BO53" s="6"/>
      <c r="BP53" s="7"/>
      <c r="BQ53" s="6">
        <v>0.96350364963503654</v>
      </c>
      <c r="BR53" s="7">
        <v>3.6496350364963501E-2</v>
      </c>
    </row>
    <row r="54" spans="1:70" s="4" customFormat="1" x14ac:dyDescent="0.25">
      <c r="A54" s="33"/>
      <c r="B54" s="34" t="s">
        <v>50</v>
      </c>
      <c r="C54" s="6"/>
      <c r="D54" s="7"/>
      <c r="E54" s="6"/>
      <c r="F54" s="7"/>
      <c r="G54" s="6">
        <v>0.93816254416961131</v>
      </c>
      <c r="H54" s="7">
        <v>6.1837455830388695E-2</v>
      </c>
      <c r="I54" s="6">
        <v>0.97135416666666663</v>
      </c>
      <c r="J54" s="8">
        <v>2.8645833333333332E-2</v>
      </c>
      <c r="K54" s="15">
        <v>1</v>
      </c>
      <c r="L54" s="7">
        <v>0</v>
      </c>
      <c r="M54" s="6">
        <v>0.98185941043083902</v>
      </c>
      <c r="N54" s="7">
        <v>1.8140589569160998E-2</v>
      </c>
      <c r="O54" s="6"/>
      <c r="P54" s="8"/>
      <c r="Q54" s="13"/>
      <c r="R54" s="14"/>
      <c r="S54" s="12"/>
      <c r="T54" s="7"/>
      <c r="U54" s="6"/>
      <c r="V54" s="8"/>
      <c r="W54" s="6"/>
      <c r="X54" s="7"/>
      <c r="Y54" s="6"/>
      <c r="Z54" s="7"/>
      <c r="AA54" s="6">
        <v>1</v>
      </c>
      <c r="AB54" s="7">
        <v>0</v>
      </c>
      <c r="AC54" s="6"/>
      <c r="AD54" s="7"/>
      <c r="AE54" s="6"/>
      <c r="AF54" s="8"/>
      <c r="AG54" s="6"/>
      <c r="AH54" s="7"/>
      <c r="AI54" s="6"/>
      <c r="AJ54" s="7"/>
      <c r="AK54" s="6"/>
      <c r="AL54" s="7"/>
      <c r="AM54" s="6"/>
      <c r="AN54" s="7"/>
      <c r="AO54" s="6"/>
      <c r="AP54" s="7"/>
      <c r="AQ54" s="6">
        <v>1</v>
      </c>
      <c r="AR54" s="7">
        <v>0</v>
      </c>
      <c r="AS54" s="6"/>
      <c r="AT54" s="7"/>
      <c r="AU54" s="6"/>
      <c r="AV54" s="7"/>
      <c r="AW54" s="6"/>
      <c r="AX54" s="7"/>
      <c r="AY54" s="6"/>
      <c r="AZ54" s="8"/>
      <c r="BA54" s="6"/>
      <c r="BB54" s="7"/>
      <c r="BC54" s="6"/>
      <c r="BD54" s="7"/>
      <c r="BE54" s="6"/>
      <c r="BF54" s="7"/>
      <c r="BG54" s="6">
        <v>0.98630136986301364</v>
      </c>
      <c r="BH54" s="7">
        <v>1.3698630136986301E-2</v>
      </c>
      <c r="BI54" s="6"/>
      <c r="BJ54" s="7"/>
      <c r="BK54" s="6"/>
      <c r="BL54" s="7"/>
      <c r="BM54" s="6"/>
      <c r="BN54" s="7"/>
      <c r="BO54" s="6"/>
      <c r="BP54" s="7"/>
      <c r="BQ54" s="6">
        <v>0.96523388116308473</v>
      </c>
      <c r="BR54" s="7">
        <v>3.47661188369153E-2</v>
      </c>
    </row>
    <row r="55" spans="1:70" s="4" customFormat="1" x14ac:dyDescent="0.25">
      <c r="A55" s="33"/>
      <c r="B55" s="34" t="s">
        <v>51</v>
      </c>
      <c r="C55" s="6"/>
      <c r="D55" s="7"/>
      <c r="E55" s="6"/>
      <c r="F55" s="7"/>
      <c r="G55" s="6">
        <v>0.89795918367346939</v>
      </c>
      <c r="H55" s="7">
        <v>0.10204081632653061</v>
      </c>
      <c r="I55" s="6"/>
      <c r="J55" s="8"/>
      <c r="K55" s="15"/>
      <c r="L55" s="7"/>
      <c r="M55" s="6"/>
      <c r="N55" s="7"/>
      <c r="O55" s="6"/>
      <c r="P55" s="8"/>
      <c r="Q55" s="6"/>
      <c r="R55" s="7"/>
      <c r="S55" s="12"/>
      <c r="T55" s="7"/>
      <c r="U55" s="6"/>
      <c r="V55" s="8"/>
      <c r="W55" s="6"/>
      <c r="X55" s="7"/>
      <c r="Y55" s="6"/>
      <c r="Z55" s="7"/>
      <c r="AA55" s="6"/>
      <c r="AB55" s="7"/>
      <c r="AC55" s="6"/>
      <c r="AD55" s="7"/>
      <c r="AE55" s="6"/>
      <c r="AF55" s="8"/>
      <c r="AG55" s="6"/>
      <c r="AH55" s="7"/>
      <c r="AI55" s="6"/>
      <c r="AJ55" s="7"/>
      <c r="AK55" s="6"/>
      <c r="AL55" s="7"/>
      <c r="AM55" s="6"/>
      <c r="AN55" s="7"/>
      <c r="AO55" s="6"/>
      <c r="AP55" s="7"/>
      <c r="AQ55" s="6"/>
      <c r="AR55" s="7"/>
      <c r="AS55" s="6"/>
      <c r="AT55" s="7"/>
      <c r="AU55" s="6"/>
      <c r="AV55" s="7"/>
      <c r="AW55" s="6"/>
      <c r="AX55" s="7"/>
      <c r="AY55" s="6"/>
      <c r="AZ55" s="8"/>
      <c r="BA55" s="6"/>
      <c r="BB55" s="7"/>
      <c r="BC55" s="6">
        <v>1</v>
      </c>
      <c r="BD55" s="7">
        <v>0</v>
      </c>
      <c r="BE55" s="6"/>
      <c r="BF55" s="7"/>
      <c r="BG55" s="6">
        <v>0.97478991596638653</v>
      </c>
      <c r="BH55" s="7">
        <v>2.5210084033613446E-2</v>
      </c>
      <c r="BI55" s="6"/>
      <c r="BJ55" s="7"/>
      <c r="BK55" s="6"/>
      <c r="BL55" s="7"/>
      <c r="BM55" s="6"/>
      <c r="BN55" s="7"/>
      <c r="BO55" s="6">
        <v>1</v>
      </c>
      <c r="BP55" s="7">
        <v>0</v>
      </c>
      <c r="BQ55" s="6">
        <v>0.96172248803827753</v>
      </c>
      <c r="BR55" s="7">
        <v>3.8277511961722487E-2</v>
      </c>
    </row>
    <row r="56" spans="1:70" s="4" customFormat="1" x14ac:dyDescent="0.25">
      <c r="A56" s="33"/>
      <c r="B56" s="34" t="s">
        <v>52</v>
      </c>
      <c r="C56" s="6"/>
      <c r="D56" s="7"/>
      <c r="E56" s="6">
        <v>0.97959183673469385</v>
      </c>
      <c r="F56" s="7">
        <v>2.0408163265306121E-2</v>
      </c>
      <c r="G56" s="6"/>
      <c r="H56" s="7"/>
      <c r="I56" s="6"/>
      <c r="J56" s="8"/>
      <c r="K56" s="15"/>
      <c r="L56" s="7"/>
      <c r="M56" s="6">
        <v>1</v>
      </c>
      <c r="N56" s="7">
        <v>0</v>
      </c>
      <c r="O56" s="6"/>
      <c r="P56" s="8"/>
      <c r="Q56" s="6"/>
      <c r="R56" s="7"/>
      <c r="S56" s="12"/>
      <c r="T56" s="7"/>
      <c r="U56" s="6"/>
      <c r="V56" s="8"/>
      <c r="W56" s="6">
        <v>1</v>
      </c>
      <c r="X56" s="7">
        <v>0</v>
      </c>
      <c r="Y56" s="6"/>
      <c r="Z56" s="7"/>
      <c r="AA56" s="6">
        <v>0.94285714285714284</v>
      </c>
      <c r="AB56" s="7">
        <v>5.7142857142857141E-2</v>
      </c>
      <c r="AC56" s="6">
        <v>0.96352583586626139</v>
      </c>
      <c r="AD56" s="7">
        <v>3.64741641337386E-2</v>
      </c>
      <c r="AE56" s="6">
        <v>0.9765625</v>
      </c>
      <c r="AF56" s="8">
        <v>2.34375E-2</v>
      </c>
      <c r="AG56" s="6">
        <v>0.94444444444444442</v>
      </c>
      <c r="AH56" s="7">
        <v>5.5555555555555552E-2</v>
      </c>
      <c r="AI56" s="6">
        <v>0.93288590604026844</v>
      </c>
      <c r="AJ56" s="7">
        <v>6.7114093959731544E-2</v>
      </c>
      <c r="AK56" s="6">
        <v>0.96</v>
      </c>
      <c r="AL56" s="7">
        <v>0.04</v>
      </c>
      <c r="AM56" s="6"/>
      <c r="AN56" s="7"/>
      <c r="AO56" s="6"/>
      <c r="AP56" s="7"/>
      <c r="AQ56" s="6"/>
      <c r="AR56" s="7"/>
      <c r="AS56" s="6"/>
      <c r="AT56" s="7"/>
      <c r="AU56" s="6">
        <v>1</v>
      </c>
      <c r="AV56" s="7">
        <v>0</v>
      </c>
      <c r="AW56" s="6"/>
      <c r="AX56" s="7"/>
      <c r="AY56" s="6"/>
      <c r="AZ56" s="8"/>
      <c r="BA56" s="6"/>
      <c r="BB56" s="7"/>
      <c r="BC56" s="6"/>
      <c r="BD56" s="7"/>
      <c r="BE56" s="6"/>
      <c r="BF56" s="7"/>
      <c r="BG56" s="6"/>
      <c r="BH56" s="7"/>
      <c r="BI56" s="6"/>
      <c r="BJ56" s="7"/>
      <c r="BK56" s="6"/>
      <c r="BL56" s="7"/>
      <c r="BM56" s="6"/>
      <c r="BN56" s="7"/>
      <c r="BO56" s="6"/>
      <c r="BP56" s="7"/>
      <c r="BQ56" s="6">
        <v>0.96745822339489884</v>
      </c>
      <c r="BR56" s="7">
        <v>3.2541776605101144E-2</v>
      </c>
    </row>
    <row r="57" spans="1:70" s="4" customFormat="1" x14ac:dyDescent="0.25">
      <c r="A57" s="33" t="s">
        <v>53</v>
      </c>
      <c r="B57" s="34" t="s">
        <v>54</v>
      </c>
      <c r="C57" s="6"/>
      <c r="D57" s="7"/>
      <c r="E57" s="6">
        <v>0.93103448275862066</v>
      </c>
      <c r="F57" s="7">
        <v>6.8965517241379309E-2</v>
      </c>
      <c r="G57" s="6">
        <v>0.94289508632138119</v>
      </c>
      <c r="H57" s="7">
        <v>5.7104913678618856E-2</v>
      </c>
      <c r="I57" s="6">
        <v>0.98081023454157779</v>
      </c>
      <c r="J57" s="8">
        <v>1.9189765458422176E-2</v>
      </c>
      <c r="K57" s="15">
        <v>0.93220338983050843</v>
      </c>
      <c r="L57" s="7">
        <v>6.7796610169491525E-2</v>
      </c>
      <c r="M57" s="6">
        <v>0.97346200241254521</v>
      </c>
      <c r="N57" s="7">
        <v>2.6537997587454766E-2</v>
      </c>
      <c r="O57" s="6">
        <v>1</v>
      </c>
      <c r="P57" s="8">
        <v>0</v>
      </c>
      <c r="Q57" s="6"/>
      <c r="R57" s="7"/>
      <c r="S57" s="12">
        <v>0.96153846153846156</v>
      </c>
      <c r="T57" s="7">
        <v>3.8461538461538464E-2</v>
      </c>
      <c r="U57" s="6">
        <v>0.93939393939393945</v>
      </c>
      <c r="V57" s="8">
        <v>6.0606060606060608E-2</v>
      </c>
      <c r="W57" s="6"/>
      <c r="X57" s="7"/>
      <c r="Y57" s="6">
        <v>1</v>
      </c>
      <c r="Z57" s="7">
        <v>0</v>
      </c>
      <c r="AA57" s="6">
        <v>0.95270270270270274</v>
      </c>
      <c r="AB57" s="7">
        <v>4.72972972972973E-2</v>
      </c>
      <c r="AC57" s="6">
        <v>0.98577235772357719</v>
      </c>
      <c r="AD57" s="7">
        <v>1.4227642276422764E-2</v>
      </c>
      <c r="AE57" s="6">
        <v>0.96666666666666667</v>
      </c>
      <c r="AF57" s="8">
        <v>3.3333333333333333E-2</v>
      </c>
      <c r="AG57" s="6">
        <v>0.95833333333333337</v>
      </c>
      <c r="AH57" s="7">
        <v>4.1666666666666664E-2</v>
      </c>
      <c r="AI57" s="6">
        <v>0.94594594594594594</v>
      </c>
      <c r="AJ57" s="7">
        <v>5.4054054054054057E-2</v>
      </c>
      <c r="AK57" s="6"/>
      <c r="AL57" s="7"/>
      <c r="AM57" s="6">
        <v>0.96116504854368934</v>
      </c>
      <c r="AN57" s="7">
        <v>3.8834951456310676E-2</v>
      </c>
      <c r="AO57" s="6">
        <v>0.93333333333333335</v>
      </c>
      <c r="AP57" s="7">
        <v>6.6666666666666666E-2</v>
      </c>
      <c r="AQ57" s="6">
        <v>0.84615384615384615</v>
      </c>
      <c r="AR57" s="7">
        <v>0.15384615384615385</v>
      </c>
      <c r="AS57" s="6">
        <v>0.90476190476190477</v>
      </c>
      <c r="AT57" s="7">
        <v>9.5238095238095233E-2</v>
      </c>
      <c r="AU57" s="6">
        <v>0.94230769230769229</v>
      </c>
      <c r="AV57" s="7">
        <v>5.7692307692307696E-2</v>
      </c>
      <c r="AW57" s="6">
        <v>0.99047619047619051</v>
      </c>
      <c r="AX57" s="7">
        <v>9.5238095238095247E-3</v>
      </c>
      <c r="AY57" s="6">
        <v>1</v>
      </c>
      <c r="AZ57" s="8">
        <v>0</v>
      </c>
      <c r="BA57" s="6">
        <v>0.97204968944099379</v>
      </c>
      <c r="BB57" s="7">
        <v>2.7950310559006212E-2</v>
      </c>
      <c r="BC57" s="6">
        <v>0.98360655737704916</v>
      </c>
      <c r="BD57" s="7">
        <v>1.6393442622950821E-2</v>
      </c>
      <c r="BE57" s="6">
        <v>0.94444444444444442</v>
      </c>
      <c r="BF57" s="7">
        <v>5.5555555555555552E-2</v>
      </c>
      <c r="BG57" s="6">
        <v>0.97900763358778631</v>
      </c>
      <c r="BH57" s="7">
        <v>2.0992366412213741E-2</v>
      </c>
      <c r="BI57" s="6"/>
      <c r="BJ57" s="7"/>
      <c r="BK57" s="6"/>
      <c r="BL57" s="7"/>
      <c r="BM57" s="6">
        <v>0.96</v>
      </c>
      <c r="BN57" s="7">
        <v>0.04</v>
      </c>
      <c r="BO57" s="6">
        <v>0.9850746268656716</v>
      </c>
      <c r="BP57" s="7">
        <v>1.4925373134328358E-2</v>
      </c>
      <c r="BQ57" s="6">
        <v>0.96886674968866748</v>
      </c>
      <c r="BR57" s="7">
        <v>3.1133250311332503E-2</v>
      </c>
    </row>
    <row r="58" spans="1:70" s="4" customFormat="1" x14ac:dyDescent="0.25">
      <c r="A58" s="33"/>
      <c r="B58" s="34" t="s">
        <v>55</v>
      </c>
      <c r="C58" s="6">
        <v>0.6875</v>
      </c>
      <c r="D58" s="7">
        <v>0.3125</v>
      </c>
      <c r="E58" s="6"/>
      <c r="F58" s="7"/>
      <c r="G58" s="6">
        <v>0.96928327645051193</v>
      </c>
      <c r="H58" s="7">
        <v>3.0716723549488054E-2</v>
      </c>
      <c r="I58" s="6">
        <v>0.97413793103448276</v>
      </c>
      <c r="J58" s="8">
        <v>2.5862068965517241E-2</v>
      </c>
      <c r="K58" s="15">
        <v>0.95161290322580649</v>
      </c>
      <c r="L58" s="7">
        <v>4.8387096774193547E-2</v>
      </c>
      <c r="M58" s="6">
        <v>0.98918918918918919</v>
      </c>
      <c r="N58" s="7">
        <v>1.0810810810810811E-2</v>
      </c>
      <c r="O58" s="6"/>
      <c r="P58" s="8"/>
      <c r="Q58" s="6"/>
      <c r="R58" s="7"/>
      <c r="S58" s="12">
        <v>0.94117647058823528</v>
      </c>
      <c r="T58" s="7">
        <v>5.8823529411764705E-2</v>
      </c>
      <c r="U58" s="6">
        <v>0.88235294117647056</v>
      </c>
      <c r="V58" s="8">
        <v>0.11764705882352941</v>
      </c>
      <c r="W58" s="6">
        <v>0.97619047619047616</v>
      </c>
      <c r="X58" s="7">
        <v>2.3809523809523808E-2</v>
      </c>
      <c r="Y58" s="6">
        <v>0.95327102803738317</v>
      </c>
      <c r="Z58" s="7">
        <v>4.6728971962616821E-2</v>
      </c>
      <c r="AA58" s="6">
        <v>0.98859315589353614</v>
      </c>
      <c r="AB58" s="7">
        <v>1.1406844106463879E-2</v>
      </c>
      <c r="AC58" s="6">
        <v>0.95302013422818788</v>
      </c>
      <c r="AD58" s="7">
        <v>4.6979865771812082E-2</v>
      </c>
      <c r="AE58" s="6">
        <v>0.92896174863387981</v>
      </c>
      <c r="AF58" s="8">
        <v>7.1038251366120214E-2</v>
      </c>
      <c r="AG58" s="6">
        <v>0.99029126213592233</v>
      </c>
      <c r="AH58" s="7">
        <v>9.7087378640776691E-3</v>
      </c>
      <c r="AI58" s="6">
        <v>0.92307692307692313</v>
      </c>
      <c r="AJ58" s="7">
        <v>7.6923076923076927E-2</v>
      </c>
      <c r="AK58" s="6">
        <v>0.90909090909090906</v>
      </c>
      <c r="AL58" s="7">
        <v>9.0909090909090912E-2</v>
      </c>
      <c r="AM58" s="6">
        <v>0.9817351598173516</v>
      </c>
      <c r="AN58" s="7">
        <v>1.8264840182648401E-2</v>
      </c>
      <c r="AO58" s="6">
        <v>0.97142857142857142</v>
      </c>
      <c r="AP58" s="7">
        <v>2.8571428571428571E-2</v>
      </c>
      <c r="AQ58" s="6">
        <v>0.96296296296296291</v>
      </c>
      <c r="AR58" s="7">
        <v>3.7037037037037035E-2</v>
      </c>
      <c r="AS58" s="6">
        <v>0.96</v>
      </c>
      <c r="AT58" s="7">
        <v>0.04</v>
      </c>
      <c r="AU58" s="6">
        <v>0.97222222222222221</v>
      </c>
      <c r="AV58" s="7">
        <v>2.7777777777777776E-2</v>
      </c>
      <c r="AW58" s="6">
        <v>0.97560975609756095</v>
      </c>
      <c r="AX58" s="7">
        <v>2.4390243902439025E-2</v>
      </c>
      <c r="AY58" s="6"/>
      <c r="AZ58" s="8"/>
      <c r="BA58" s="6">
        <v>0.98039215686274506</v>
      </c>
      <c r="BB58" s="7">
        <v>1.9607843137254902E-2</v>
      </c>
      <c r="BC58" s="6">
        <v>0.91111111111111109</v>
      </c>
      <c r="BD58" s="7">
        <v>8.8888888888888892E-2</v>
      </c>
      <c r="BE58" s="6"/>
      <c r="BF58" s="7"/>
      <c r="BG58" s="6"/>
      <c r="BH58" s="7"/>
      <c r="BI58" s="6"/>
      <c r="BJ58" s="7"/>
      <c r="BK58" s="6"/>
      <c r="BL58" s="7"/>
      <c r="BM58" s="6"/>
      <c r="BN58" s="7"/>
      <c r="BO58" s="6">
        <v>0.98480243161094227</v>
      </c>
      <c r="BP58" s="7">
        <v>1.5197568389057751E-2</v>
      </c>
      <c r="BQ58" s="6">
        <v>0.96649572649572646</v>
      </c>
      <c r="BR58" s="7">
        <v>3.3504273504273506E-2</v>
      </c>
    </row>
    <row r="59" spans="1:70" s="4" customFormat="1" x14ac:dyDescent="0.25">
      <c r="A59" s="33"/>
      <c r="B59" s="34" t="s">
        <v>56</v>
      </c>
      <c r="C59" s="6">
        <v>1</v>
      </c>
      <c r="D59" s="7">
        <v>0</v>
      </c>
      <c r="E59" s="6"/>
      <c r="F59" s="7"/>
      <c r="G59" s="6">
        <v>0.96730245231607626</v>
      </c>
      <c r="H59" s="7">
        <v>3.2697547683923703E-2</v>
      </c>
      <c r="I59" s="6">
        <v>1</v>
      </c>
      <c r="J59" s="8">
        <v>0</v>
      </c>
      <c r="K59" s="15">
        <v>1</v>
      </c>
      <c r="L59" s="7">
        <v>0</v>
      </c>
      <c r="M59" s="6">
        <v>1</v>
      </c>
      <c r="N59" s="7">
        <v>0</v>
      </c>
      <c r="O59" s="6"/>
      <c r="P59" s="8"/>
      <c r="Q59" s="6"/>
      <c r="R59" s="7"/>
      <c r="S59" s="12">
        <v>0.93548387096774188</v>
      </c>
      <c r="T59" s="7">
        <v>6.4516129032258063E-2</v>
      </c>
      <c r="U59" s="6">
        <v>1</v>
      </c>
      <c r="V59" s="8">
        <v>0</v>
      </c>
      <c r="W59" s="6">
        <v>1</v>
      </c>
      <c r="X59" s="7">
        <v>0</v>
      </c>
      <c r="Y59" s="6">
        <v>1</v>
      </c>
      <c r="Z59" s="7">
        <v>0</v>
      </c>
      <c r="AA59" s="6">
        <v>0.98265895953757221</v>
      </c>
      <c r="AB59" s="7">
        <v>1.7341040462427744E-2</v>
      </c>
      <c r="AC59" s="6">
        <v>0.92957746478873238</v>
      </c>
      <c r="AD59" s="7">
        <v>7.0422535211267609E-2</v>
      </c>
      <c r="AE59" s="6">
        <v>0.9779411764705882</v>
      </c>
      <c r="AF59" s="8">
        <v>2.2058823529411766E-2</v>
      </c>
      <c r="AG59" s="6">
        <v>1</v>
      </c>
      <c r="AH59" s="7">
        <v>0</v>
      </c>
      <c r="AI59" s="6">
        <v>1</v>
      </c>
      <c r="AJ59" s="7">
        <v>0</v>
      </c>
      <c r="AK59" s="6"/>
      <c r="AL59" s="7"/>
      <c r="AM59" s="6">
        <v>0.99319727891156462</v>
      </c>
      <c r="AN59" s="7">
        <v>6.8027210884353739E-3</v>
      </c>
      <c r="AO59" s="6">
        <v>0.90909090909090906</v>
      </c>
      <c r="AP59" s="7">
        <v>9.0909090909090912E-2</v>
      </c>
      <c r="AQ59" s="6">
        <v>0.97959183673469385</v>
      </c>
      <c r="AR59" s="7">
        <v>2.0408163265306121E-2</v>
      </c>
      <c r="AS59" s="6"/>
      <c r="AT59" s="7"/>
      <c r="AU59" s="6">
        <v>1</v>
      </c>
      <c r="AV59" s="7">
        <v>0</v>
      </c>
      <c r="AW59" s="6">
        <v>1</v>
      </c>
      <c r="AX59" s="7">
        <v>0</v>
      </c>
      <c r="AY59" s="6"/>
      <c r="AZ59" s="8"/>
      <c r="BA59" s="6"/>
      <c r="BB59" s="7"/>
      <c r="BC59" s="6">
        <v>1</v>
      </c>
      <c r="BD59" s="7">
        <v>0</v>
      </c>
      <c r="BE59" s="6"/>
      <c r="BF59" s="7"/>
      <c r="BG59" s="6">
        <v>0.95975232198142413</v>
      </c>
      <c r="BH59" s="7">
        <v>4.0247678018575851E-2</v>
      </c>
      <c r="BI59" s="6"/>
      <c r="BJ59" s="7"/>
      <c r="BK59" s="6"/>
      <c r="BL59" s="7"/>
      <c r="BM59" s="6"/>
      <c r="BN59" s="7"/>
      <c r="BO59" s="6">
        <v>0.98571428571428577</v>
      </c>
      <c r="BP59" s="7">
        <v>1.4285714285714285E-2</v>
      </c>
      <c r="BQ59" s="6">
        <v>0.97899159663865543</v>
      </c>
      <c r="BR59" s="7">
        <v>2.100840336134454E-2</v>
      </c>
    </row>
    <row r="60" spans="1:70" s="4" customFormat="1" x14ac:dyDescent="0.25">
      <c r="A60" s="33"/>
      <c r="B60" s="34" t="s">
        <v>57</v>
      </c>
      <c r="C60" s="6"/>
      <c r="D60" s="7"/>
      <c r="E60" s="6"/>
      <c r="F60" s="7"/>
      <c r="G60" s="6">
        <v>0.97777777777777775</v>
      </c>
      <c r="H60" s="7">
        <v>2.2222222222222223E-2</v>
      </c>
      <c r="I60" s="6">
        <v>0.9821428571428571</v>
      </c>
      <c r="J60" s="8">
        <v>1.7857142857142856E-2</v>
      </c>
      <c r="K60" s="15"/>
      <c r="L60" s="7"/>
      <c r="M60" s="6">
        <v>0.97402597402597402</v>
      </c>
      <c r="N60" s="7">
        <v>2.5974025974025976E-2</v>
      </c>
      <c r="O60" s="6">
        <v>0.95238095238095233</v>
      </c>
      <c r="P60" s="8">
        <v>4.7619047619047616E-2</v>
      </c>
      <c r="Q60" s="6"/>
      <c r="R60" s="7"/>
      <c r="S60" s="12">
        <v>0.8</v>
      </c>
      <c r="T60" s="7">
        <v>0.2</v>
      </c>
      <c r="U60" s="6">
        <v>0.96969696969696972</v>
      </c>
      <c r="V60" s="8">
        <v>3.0303030303030304E-2</v>
      </c>
      <c r="W60" s="6"/>
      <c r="X60" s="7"/>
      <c r="Y60" s="6"/>
      <c r="Z60" s="7"/>
      <c r="AA60" s="6">
        <v>1</v>
      </c>
      <c r="AB60" s="7">
        <v>0</v>
      </c>
      <c r="AC60" s="6"/>
      <c r="AD60" s="7"/>
      <c r="AE60" s="6"/>
      <c r="AF60" s="8"/>
      <c r="AG60" s="6"/>
      <c r="AH60" s="7"/>
      <c r="AI60" s="6"/>
      <c r="AJ60" s="7"/>
      <c r="AK60" s="6"/>
      <c r="AL60" s="7"/>
      <c r="AM60" s="6">
        <v>0.94117647058823528</v>
      </c>
      <c r="AN60" s="7">
        <v>5.8823529411764705E-2</v>
      </c>
      <c r="AO60" s="6"/>
      <c r="AP60" s="7"/>
      <c r="AQ60" s="6">
        <v>0.97071129707112969</v>
      </c>
      <c r="AR60" s="7">
        <v>2.9288702928870293E-2</v>
      </c>
      <c r="AS60" s="6">
        <v>1</v>
      </c>
      <c r="AT60" s="7">
        <v>0</v>
      </c>
      <c r="AU60" s="6"/>
      <c r="AV60" s="7"/>
      <c r="AW60" s="6"/>
      <c r="AX60" s="7"/>
      <c r="AY60" s="6"/>
      <c r="AZ60" s="8"/>
      <c r="BA60" s="6"/>
      <c r="BB60" s="7"/>
      <c r="BC60" s="6"/>
      <c r="BD60" s="7"/>
      <c r="BE60" s="6"/>
      <c r="BF60" s="7"/>
      <c r="BG60" s="6">
        <v>0.97777777777777775</v>
      </c>
      <c r="BH60" s="7">
        <v>2.2222222222222223E-2</v>
      </c>
      <c r="BI60" s="6"/>
      <c r="BJ60" s="7"/>
      <c r="BK60" s="6"/>
      <c r="BL60" s="7"/>
      <c r="BM60" s="6"/>
      <c r="BN60" s="7"/>
      <c r="BO60" s="6"/>
      <c r="BP60" s="7"/>
      <c r="BQ60" s="6">
        <v>0.97073170731707314</v>
      </c>
      <c r="BR60" s="7">
        <v>2.9268292682926831E-2</v>
      </c>
    </row>
    <row r="61" spans="1:70" s="4" customFormat="1" x14ac:dyDescent="0.25">
      <c r="A61" s="33" t="s">
        <v>58</v>
      </c>
      <c r="B61" s="34" t="s">
        <v>59</v>
      </c>
      <c r="C61" s="6">
        <v>1</v>
      </c>
      <c r="D61" s="7">
        <v>0</v>
      </c>
      <c r="E61" s="6"/>
      <c r="F61" s="7"/>
      <c r="G61" s="6">
        <v>1</v>
      </c>
      <c r="H61" s="7">
        <v>0</v>
      </c>
      <c r="I61" s="6"/>
      <c r="J61" s="8"/>
      <c r="K61" s="15"/>
      <c r="L61" s="7"/>
      <c r="M61" s="6"/>
      <c r="N61" s="7"/>
      <c r="O61" s="6"/>
      <c r="P61" s="8"/>
      <c r="Q61" s="6"/>
      <c r="R61" s="7"/>
      <c r="S61" s="12"/>
      <c r="T61" s="7"/>
      <c r="U61" s="6"/>
      <c r="V61" s="8"/>
      <c r="W61" s="6"/>
      <c r="X61" s="7"/>
      <c r="Y61" s="6">
        <v>1</v>
      </c>
      <c r="Z61" s="7">
        <v>0</v>
      </c>
      <c r="AA61" s="6">
        <v>1</v>
      </c>
      <c r="AB61" s="7">
        <v>0</v>
      </c>
      <c r="AC61" s="6"/>
      <c r="AD61" s="7"/>
      <c r="AE61" s="6">
        <v>0.97701149425287359</v>
      </c>
      <c r="AF61" s="8">
        <v>2.2988505747126436E-2</v>
      </c>
      <c r="AG61" s="6">
        <v>1</v>
      </c>
      <c r="AH61" s="7">
        <v>0</v>
      </c>
      <c r="AI61" s="6"/>
      <c r="AJ61" s="7"/>
      <c r="AK61" s="6">
        <v>0.8571428571428571</v>
      </c>
      <c r="AL61" s="7">
        <v>0.14285714285714285</v>
      </c>
      <c r="AM61" s="6"/>
      <c r="AN61" s="7"/>
      <c r="AO61" s="6"/>
      <c r="AP61" s="7"/>
      <c r="AQ61" s="6"/>
      <c r="AR61" s="7"/>
      <c r="AS61" s="6"/>
      <c r="AT61" s="7"/>
      <c r="AU61" s="6">
        <v>1</v>
      </c>
      <c r="AV61" s="7">
        <v>0</v>
      </c>
      <c r="AW61" s="6">
        <v>1</v>
      </c>
      <c r="AX61" s="7">
        <v>0</v>
      </c>
      <c r="AY61" s="6">
        <v>1</v>
      </c>
      <c r="AZ61" s="8">
        <v>0</v>
      </c>
      <c r="BA61" s="6">
        <v>0.98076923076923073</v>
      </c>
      <c r="BB61" s="7">
        <v>1.9230769230769232E-2</v>
      </c>
      <c r="BC61" s="6">
        <v>0.92307692307692313</v>
      </c>
      <c r="BD61" s="7">
        <v>7.6923076923076927E-2</v>
      </c>
      <c r="BE61" s="6"/>
      <c r="BF61" s="7"/>
      <c r="BG61" s="6">
        <v>0.96842105263157896</v>
      </c>
      <c r="BH61" s="7">
        <v>3.1578947368421054E-2</v>
      </c>
      <c r="BI61" s="6"/>
      <c r="BJ61" s="7"/>
      <c r="BK61" s="6"/>
      <c r="BL61" s="7"/>
      <c r="BM61" s="6"/>
      <c r="BN61" s="7"/>
      <c r="BO61" s="6">
        <v>0.9850746268656716</v>
      </c>
      <c r="BP61" s="7">
        <v>1.4925373134328358E-2</v>
      </c>
      <c r="BQ61" s="6">
        <v>0.97652582159624413</v>
      </c>
      <c r="BR61" s="7">
        <v>2.3474178403755867E-2</v>
      </c>
    </row>
    <row r="62" spans="1:70" s="4" customFormat="1" x14ac:dyDescent="0.25">
      <c r="A62" s="44"/>
      <c r="B62" s="45" t="s">
        <v>60</v>
      </c>
      <c r="C62" s="6"/>
      <c r="D62" s="7"/>
      <c r="E62" s="6">
        <v>0.91666666666666663</v>
      </c>
      <c r="F62" s="7">
        <v>8.3333333333333329E-2</v>
      </c>
      <c r="G62" s="6">
        <v>1</v>
      </c>
      <c r="H62" s="7">
        <v>0</v>
      </c>
      <c r="I62" s="6">
        <v>0.875</v>
      </c>
      <c r="J62" s="8">
        <v>0.125</v>
      </c>
      <c r="K62" s="15"/>
      <c r="L62" s="7"/>
      <c r="M62" s="6">
        <v>0.98373983739837401</v>
      </c>
      <c r="N62" s="7">
        <v>1.6260162601626018E-2</v>
      </c>
      <c r="O62" s="6">
        <v>0.9375</v>
      </c>
      <c r="P62" s="8">
        <v>6.25E-2</v>
      </c>
      <c r="Q62" s="6"/>
      <c r="R62" s="7"/>
      <c r="S62" s="12">
        <v>1</v>
      </c>
      <c r="T62" s="7">
        <v>0</v>
      </c>
      <c r="U62" s="6">
        <v>1</v>
      </c>
      <c r="V62" s="8">
        <v>0</v>
      </c>
      <c r="W62" s="6"/>
      <c r="X62" s="7"/>
      <c r="Y62" s="6">
        <v>0.91666666666666663</v>
      </c>
      <c r="Z62" s="7">
        <v>8.3333333333333329E-2</v>
      </c>
      <c r="AA62" s="6">
        <v>1</v>
      </c>
      <c r="AB62" s="7">
        <v>0</v>
      </c>
      <c r="AC62" s="6"/>
      <c r="AD62" s="7"/>
      <c r="AE62" s="6"/>
      <c r="AF62" s="8"/>
      <c r="AG62" s="6"/>
      <c r="AH62" s="7"/>
      <c r="AI62" s="6"/>
      <c r="AJ62" s="7"/>
      <c r="AK62" s="6"/>
      <c r="AL62" s="7"/>
      <c r="AM62" s="6">
        <v>0.90909090909090906</v>
      </c>
      <c r="AN62" s="7">
        <v>9.0909090909090912E-2</v>
      </c>
      <c r="AO62" s="6"/>
      <c r="AP62" s="7"/>
      <c r="AQ62" s="6"/>
      <c r="AR62" s="7"/>
      <c r="AS62" s="6"/>
      <c r="AT62" s="7"/>
      <c r="AU62" s="6"/>
      <c r="AV62" s="7"/>
      <c r="AW62" s="6">
        <v>1</v>
      </c>
      <c r="AX62" s="7">
        <v>0</v>
      </c>
      <c r="AY62" s="6">
        <v>0.96590909090909094</v>
      </c>
      <c r="AZ62" s="8">
        <v>3.4090909090909088E-2</v>
      </c>
      <c r="BA62" s="6">
        <v>1</v>
      </c>
      <c r="BB62" s="7">
        <v>0</v>
      </c>
      <c r="BC62" s="6">
        <v>0.93506493506493504</v>
      </c>
      <c r="BD62" s="7">
        <v>6.4935064935064929E-2</v>
      </c>
      <c r="BE62" s="6"/>
      <c r="BF62" s="7"/>
      <c r="BG62" s="6">
        <v>0.967741935483871</v>
      </c>
      <c r="BH62" s="7">
        <v>3.2258064516129031E-2</v>
      </c>
      <c r="BI62" s="6"/>
      <c r="BJ62" s="7"/>
      <c r="BK62" s="6"/>
      <c r="BL62" s="7"/>
      <c r="BM62" s="6">
        <v>1</v>
      </c>
      <c r="BN62" s="7">
        <v>0</v>
      </c>
      <c r="BO62" s="6"/>
      <c r="BP62" s="7"/>
      <c r="BQ62" s="6">
        <v>0.96802325581395354</v>
      </c>
      <c r="BR62" s="7">
        <v>3.1976744186046513E-2</v>
      </c>
    </row>
    <row r="63" spans="1:70" s="4" customFormat="1" x14ac:dyDescent="0.25">
      <c r="A63" s="33"/>
      <c r="B63" s="43" t="s">
        <v>61</v>
      </c>
      <c r="C63" s="6"/>
      <c r="D63" s="7"/>
      <c r="E63" s="6"/>
      <c r="F63" s="7"/>
      <c r="G63" s="6"/>
      <c r="H63" s="7"/>
      <c r="I63" s="6"/>
      <c r="J63" s="8"/>
      <c r="K63" s="15"/>
      <c r="L63" s="7"/>
      <c r="M63" s="6">
        <v>1</v>
      </c>
      <c r="N63" s="7">
        <v>0</v>
      </c>
      <c r="O63" s="6"/>
      <c r="P63" s="8"/>
      <c r="Q63" s="6"/>
      <c r="R63" s="7"/>
      <c r="S63" s="12">
        <v>0.9</v>
      </c>
      <c r="T63" s="7">
        <v>0.1</v>
      </c>
      <c r="U63" s="6">
        <v>1</v>
      </c>
      <c r="V63" s="8">
        <v>0</v>
      </c>
      <c r="W63" s="6"/>
      <c r="X63" s="7"/>
      <c r="Y63" s="6">
        <v>0.88888888888888884</v>
      </c>
      <c r="Z63" s="7">
        <v>0.1111111111111111</v>
      </c>
      <c r="AA63" s="6"/>
      <c r="AB63" s="7"/>
      <c r="AC63" s="6"/>
      <c r="AD63" s="7"/>
      <c r="AE63" s="6">
        <v>0.93103448275862066</v>
      </c>
      <c r="AF63" s="8">
        <v>6.8965517241379309E-2</v>
      </c>
      <c r="AG63" s="6">
        <v>0.8</v>
      </c>
      <c r="AH63" s="7">
        <v>0.2</v>
      </c>
      <c r="AI63" s="6"/>
      <c r="AJ63" s="7"/>
      <c r="AK63" s="6">
        <v>0.8571428571428571</v>
      </c>
      <c r="AL63" s="7">
        <v>0.14285714285714285</v>
      </c>
      <c r="AM63" s="6">
        <v>0.98484848484848486</v>
      </c>
      <c r="AN63" s="7">
        <v>1.5151515151515152E-2</v>
      </c>
      <c r="AO63" s="6">
        <v>1</v>
      </c>
      <c r="AP63" s="7">
        <v>0</v>
      </c>
      <c r="AQ63" s="6">
        <v>0.97872340425531912</v>
      </c>
      <c r="AR63" s="7">
        <v>2.1276595744680851E-2</v>
      </c>
      <c r="AS63" s="6">
        <v>0.94059405940594054</v>
      </c>
      <c r="AT63" s="7">
        <v>5.9405940594059403E-2</v>
      </c>
      <c r="AU63" s="6"/>
      <c r="AV63" s="7"/>
      <c r="AW63" s="6"/>
      <c r="AX63" s="7"/>
      <c r="AY63" s="6">
        <v>0.97619047619047616</v>
      </c>
      <c r="AZ63" s="8">
        <v>2.3809523809523808E-2</v>
      </c>
      <c r="BA63" s="6"/>
      <c r="BB63" s="7"/>
      <c r="BC63" s="6"/>
      <c r="BD63" s="7"/>
      <c r="BE63" s="6"/>
      <c r="BF63" s="7"/>
      <c r="BG63" s="6"/>
      <c r="BH63" s="7"/>
      <c r="BI63" s="6"/>
      <c r="BJ63" s="7"/>
      <c r="BK63" s="6"/>
      <c r="BL63" s="7"/>
      <c r="BM63" s="6"/>
      <c r="BN63" s="7"/>
      <c r="BO63" s="6"/>
      <c r="BP63" s="7"/>
      <c r="BQ63" s="6">
        <v>0.95675675675675675</v>
      </c>
      <c r="BR63" s="7">
        <v>4.3243243243243246E-2</v>
      </c>
    </row>
    <row r="64" spans="1:70" s="4" customFormat="1" x14ac:dyDescent="0.25">
      <c r="A64" s="33"/>
      <c r="B64" s="43" t="s">
        <v>62</v>
      </c>
      <c r="C64" s="6"/>
      <c r="D64" s="7"/>
      <c r="E64" s="6"/>
      <c r="F64" s="7"/>
      <c r="G64" s="6">
        <v>1</v>
      </c>
      <c r="H64" s="7">
        <v>0</v>
      </c>
      <c r="I64" s="6">
        <v>0.90909090909090906</v>
      </c>
      <c r="J64" s="8">
        <v>9.0909090909090912E-2</v>
      </c>
      <c r="K64" s="15"/>
      <c r="L64" s="7"/>
      <c r="M64" s="6">
        <v>1</v>
      </c>
      <c r="N64" s="7">
        <v>0</v>
      </c>
      <c r="O64" s="6">
        <v>1</v>
      </c>
      <c r="P64" s="8">
        <v>0</v>
      </c>
      <c r="Q64" s="6"/>
      <c r="R64" s="7"/>
      <c r="S64" s="12"/>
      <c r="T64" s="7"/>
      <c r="U64" s="6">
        <v>0.91666666666666663</v>
      </c>
      <c r="V64" s="8">
        <v>8.3333333333333329E-2</v>
      </c>
      <c r="W64" s="6"/>
      <c r="X64" s="7"/>
      <c r="Y64" s="6"/>
      <c r="Z64" s="7"/>
      <c r="AA64" s="6"/>
      <c r="AB64" s="7"/>
      <c r="AC64" s="6"/>
      <c r="AD64" s="7"/>
      <c r="AE64" s="6"/>
      <c r="AF64" s="8"/>
      <c r="AG64" s="6"/>
      <c r="AH64" s="7"/>
      <c r="AI64" s="6"/>
      <c r="AJ64" s="7"/>
      <c r="AK64" s="6"/>
      <c r="AL64" s="7"/>
      <c r="AM64" s="6"/>
      <c r="AN64" s="7"/>
      <c r="AO64" s="6"/>
      <c r="AP64" s="7"/>
      <c r="AQ64" s="6"/>
      <c r="AR64" s="7"/>
      <c r="AS64" s="6"/>
      <c r="AT64" s="7"/>
      <c r="AU64" s="6">
        <v>1</v>
      </c>
      <c r="AV64" s="7">
        <v>0</v>
      </c>
      <c r="AW64" s="6"/>
      <c r="AX64" s="7"/>
      <c r="AY64" s="6">
        <v>1</v>
      </c>
      <c r="AZ64" s="8">
        <v>0</v>
      </c>
      <c r="BA64" s="6"/>
      <c r="BB64" s="7"/>
      <c r="BC64" s="6">
        <v>0.94736842105263153</v>
      </c>
      <c r="BD64" s="7">
        <v>5.2631578947368418E-2</v>
      </c>
      <c r="BE64" s="6"/>
      <c r="BF64" s="7"/>
      <c r="BG64" s="6"/>
      <c r="BH64" s="7"/>
      <c r="BI64" s="6"/>
      <c r="BJ64" s="7"/>
      <c r="BK64" s="6"/>
      <c r="BL64" s="7"/>
      <c r="BM64" s="6"/>
      <c r="BN64" s="7"/>
      <c r="BO64" s="6"/>
      <c r="BP64" s="7"/>
      <c r="BQ64" s="6">
        <v>0.96969696969696972</v>
      </c>
      <c r="BR64" s="7">
        <v>3.0303030303030304E-2</v>
      </c>
    </row>
    <row r="65" spans="1:70" s="4" customFormat="1" x14ac:dyDescent="0.25">
      <c r="A65" s="46"/>
      <c r="B65" s="43" t="s">
        <v>63</v>
      </c>
      <c r="C65" s="6"/>
      <c r="D65" s="7"/>
      <c r="E65" s="6"/>
      <c r="F65" s="7"/>
      <c r="G65" s="6"/>
      <c r="H65" s="7"/>
      <c r="I65" s="6"/>
      <c r="J65" s="8"/>
      <c r="K65" s="6"/>
      <c r="L65" s="7"/>
      <c r="M65" s="6">
        <v>1</v>
      </c>
      <c r="N65" s="7">
        <v>0</v>
      </c>
      <c r="O65" s="6"/>
      <c r="P65" s="8"/>
      <c r="Q65" s="6"/>
      <c r="R65" s="7"/>
      <c r="S65" s="12"/>
      <c r="T65" s="7"/>
      <c r="U65" s="6"/>
      <c r="V65" s="8"/>
      <c r="W65" s="6"/>
      <c r="X65" s="7"/>
      <c r="Y65" s="6"/>
      <c r="Z65" s="7"/>
      <c r="AA65" s="6"/>
      <c r="AB65" s="7"/>
      <c r="AC65" s="6"/>
      <c r="AD65" s="7"/>
      <c r="AE65" s="6"/>
      <c r="AF65" s="8"/>
      <c r="AG65" s="6"/>
      <c r="AH65" s="7"/>
      <c r="AI65" s="6"/>
      <c r="AJ65" s="7"/>
      <c r="AK65" s="6"/>
      <c r="AL65" s="7"/>
      <c r="AM65" s="6"/>
      <c r="AN65" s="7"/>
      <c r="AO65" s="6"/>
      <c r="AP65" s="7"/>
      <c r="AQ65" s="6"/>
      <c r="AR65" s="7"/>
      <c r="AS65" s="6"/>
      <c r="AT65" s="7"/>
      <c r="AU65" s="6"/>
      <c r="AV65" s="7"/>
      <c r="AW65" s="6"/>
      <c r="AX65" s="7"/>
      <c r="AY65" s="6"/>
      <c r="AZ65" s="8"/>
      <c r="BA65" s="6"/>
      <c r="BB65" s="7"/>
      <c r="BC65" s="6"/>
      <c r="BD65" s="7"/>
      <c r="BE65" s="6"/>
      <c r="BF65" s="7"/>
      <c r="BG65" s="6"/>
      <c r="BH65" s="7"/>
      <c r="BI65" s="6"/>
      <c r="BJ65" s="7"/>
      <c r="BK65" s="6"/>
      <c r="BL65" s="7"/>
      <c r="BM65" s="6"/>
      <c r="BN65" s="7"/>
      <c r="BO65" s="6"/>
      <c r="BP65" s="7"/>
      <c r="BQ65" s="6">
        <v>1</v>
      </c>
      <c r="BR65" s="7">
        <v>0</v>
      </c>
    </row>
    <row r="66" spans="1:70" s="4" customFormat="1" ht="15.75" thickBot="1" x14ac:dyDescent="0.3">
      <c r="A66" s="35" t="s">
        <v>64</v>
      </c>
      <c r="B66" s="47" t="s">
        <v>64</v>
      </c>
      <c r="C66" s="16"/>
      <c r="D66" s="17"/>
      <c r="E66" s="16"/>
      <c r="F66" s="17"/>
      <c r="G66" s="16"/>
      <c r="H66" s="17"/>
      <c r="I66" s="16">
        <v>1</v>
      </c>
      <c r="J66" s="18">
        <v>0</v>
      </c>
      <c r="K66" s="16"/>
      <c r="L66" s="17"/>
      <c r="M66" s="16"/>
      <c r="N66" s="7"/>
      <c r="O66" s="16"/>
      <c r="P66" s="18"/>
      <c r="Q66" s="16"/>
      <c r="R66" s="17"/>
      <c r="S66" s="19"/>
      <c r="T66" s="17"/>
      <c r="U66" s="16">
        <v>0.92307692307692313</v>
      </c>
      <c r="V66" s="18">
        <v>7.6923076923076927E-2</v>
      </c>
      <c r="W66" s="16"/>
      <c r="X66" s="17"/>
      <c r="Y66" s="16"/>
      <c r="Z66" s="17"/>
      <c r="AA66" s="16"/>
      <c r="AB66" s="17"/>
      <c r="AC66" s="16"/>
      <c r="AD66" s="17"/>
      <c r="AE66" s="16"/>
      <c r="AF66" s="18"/>
      <c r="AG66" s="16"/>
      <c r="AH66" s="17"/>
      <c r="AI66" s="16"/>
      <c r="AJ66" s="17"/>
      <c r="AK66" s="16"/>
      <c r="AL66" s="17"/>
      <c r="AM66" s="16"/>
      <c r="AN66" s="17"/>
      <c r="AO66" s="16"/>
      <c r="AP66" s="17"/>
      <c r="AQ66" s="16">
        <v>1</v>
      </c>
      <c r="AR66" s="17">
        <v>0</v>
      </c>
      <c r="AS66" s="16"/>
      <c r="AT66" s="17"/>
      <c r="AU66" s="16"/>
      <c r="AV66" s="17"/>
      <c r="AW66" s="16"/>
      <c r="AX66" s="17"/>
      <c r="AY66" s="16"/>
      <c r="AZ66" s="18"/>
      <c r="BA66" s="16"/>
      <c r="BB66" s="17"/>
      <c r="BC66" s="16"/>
      <c r="BD66" s="17"/>
      <c r="BE66" s="16"/>
      <c r="BF66" s="17"/>
      <c r="BG66" s="16">
        <v>1</v>
      </c>
      <c r="BH66" s="17">
        <v>0</v>
      </c>
      <c r="BI66" s="16"/>
      <c r="BJ66" s="17"/>
      <c r="BK66" s="16"/>
      <c r="BL66" s="17"/>
      <c r="BM66" s="16"/>
      <c r="BN66" s="17"/>
      <c r="BO66" s="16"/>
      <c r="BP66" s="17"/>
      <c r="BQ66" s="16">
        <v>0.9838709677419355</v>
      </c>
      <c r="BR66" s="17">
        <v>1.6129032258064516E-2</v>
      </c>
    </row>
    <row r="67" spans="1:70" s="4" customFormat="1" ht="15.75" thickBot="1" x14ac:dyDescent="0.3">
      <c r="A67" s="52" t="s">
        <v>0</v>
      </c>
      <c r="B67" s="52"/>
      <c r="C67" s="84">
        <v>0.88636363636363635</v>
      </c>
      <c r="D67" s="84">
        <v>0.11363636363636363</v>
      </c>
      <c r="E67" s="84">
        <v>0.9555555555555556</v>
      </c>
      <c r="F67" s="84">
        <v>4.4444444444444446E-2</v>
      </c>
      <c r="G67" s="84">
        <v>0.95222929936305734</v>
      </c>
      <c r="H67" s="84">
        <v>4.7770700636942678E-2</v>
      </c>
      <c r="I67" s="84">
        <v>0.97477064220183485</v>
      </c>
      <c r="J67" s="84">
        <v>2.5229357798165139E-2</v>
      </c>
      <c r="K67" s="84">
        <v>0.95757575757575752</v>
      </c>
      <c r="L67" s="84">
        <v>4.2424242424242427E-2</v>
      </c>
      <c r="M67" s="84">
        <v>0.98143372872614754</v>
      </c>
      <c r="N67" s="84">
        <v>1.8566271273852502E-2</v>
      </c>
      <c r="O67" s="84">
        <v>0.96103896103896103</v>
      </c>
      <c r="P67" s="84">
        <v>3.896103896103896E-2</v>
      </c>
      <c r="Q67" s="84">
        <v>0</v>
      </c>
      <c r="R67" s="84">
        <v>0</v>
      </c>
      <c r="S67" s="84">
        <v>0.9375</v>
      </c>
      <c r="T67" s="84">
        <v>6.25E-2</v>
      </c>
      <c r="U67" s="84">
        <v>0.96234309623430958</v>
      </c>
      <c r="V67" s="84">
        <v>3.7656903765690378E-2</v>
      </c>
      <c r="W67" s="84">
        <v>0.9921875</v>
      </c>
      <c r="X67" s="84">
        <v>7.8125E-3</v>
      </c>
      <c r="Y67" s="84">
        <v>0.95652173913043481</v>
      </c>
      <c r="Z67" s="84">
        <v>4.3478260869565216E-2</v>
      </c>
      <c r="AA67" s="84">
        <v>0.97890295358649793</v>
      </c>
      <c r="AB67" s="84">
        <v>2.1097046413502109E-2</v>
      </c>
      <c r="AC67" s="84">
        <v>0.96147919876733434</v>
      </c>
      <c r="AD67" s="84">
        <v>3.8520801232665637E-2</v>
      </c>
      <c r="AE67" s="84">
        <v>0.96610169491525422</v>
      </c>
      <c r="AF67" s="84">
        <v>3.3898305084745763E-2</v>
      </c>
      <c r="AG67" s="84">
        <v>0.97150997150997154</v>
      </c>
      <c r="AH67" s="84">
        <v>2.8490028490028491E-2</v>
      </c>
      <c r="AI67" s="84">
        <v>0.9375</v>
      </c>
      <c r="AJ67" s="84">
        <v>6.25E-2</v>
      </c>
      <c r="AK67" s="84">
        <v>0.89130434782608692</v>
      </c>
      <c r="AL67" s="84">
        <v>0.10869565217391304</v>
      </c>
      <c r="AM67" s="84">
        <v>0.97597597597597596</v>
      </c>
      <c r="AN67" s="84">
        <v>2.4024024024024024E-2</v>
      </c>
      <c r="AO67" s="84">
        <v>0.96842105263157896</v>
      </c>
      <c r="AP67" s="84">
        <v>3.1578947368421054E-2</v>
      </c>
      <c r="AQ67" s="84">
        <v>0.97400990099009899</v>
      </c>
      <c r="AR67" s="84">
        <v>2.5990099009900989E-2</v>
      </c>
      <c r="AS67" s="84">
        <v>0.94512195121951215</v>
      </c>
      <c r="AT67" s="84">
        <v>5.4878048780487805E-2</v>
      </c>
      <c r="AU67" s="84">
        <v>0.98165137614678899</v>
      </c>
      <c r="AV67" s="84">
        <v>1.834862385321101E-2</v>
      </c>
      <c r="AW67" s="84">
        <v>0.98775510204081629</v>
      </c>
      <c r="AX67" s="84">
        <v>1.2244897959183673E-2</v>
      </c>
      <c r="AY67" s="84">
        <v>0.98516320474777452</v>
      </c>
      <c r="AZ67" s="84">
        <v>1.483679525222552E-2</v>
      </c>
      <c r="BA67" s="84">
        <v>0.97916666666666663</v>
      </c>
      <c r="BB67" s="84">
        <v>2.0833333333333332E-2</v>
      </c>
      <c r="BC67" s="84">
        <v>0.95255474452554745</v>
      </c>
      <c r="BD67" s="84">
        <v>4.7445255474452552E-2</v>
      </c>
      <c r="BE67" s="84">
        <v>0.94444444444444442</v>
      </c>
      <c r="BF67" s="84">
        <v>5.5555555555555552E-2</v>
      </c>
      <c r="BG67" s="84">
        <v>0.97422289613343438</v>
      </c>
      <c r="BH67" s="84">
        <v>2.5777103866565579E-2</v>
      </c>
      <c r="BI67" s="84">
        <v>0</v>
      </c>
      <c r="BJ67" s="84">
        <v>0</v>
      </c>
      <c r="BK67" s="84">
        <v>0</v>
      </c>
      <c r="BL67" s="84">
        <v>0</v>
      </c>
      <c r="BM67" s="84">
        <v>0.98039215686274506</v>
      </c>
      <c r="BN67" s="84">
        <v>1.9607843137254902E-2</v>
      </c>
      <c r="BO67" s="84">
        <v>0.98554913294797686</v>
      </c>
      <c r="BP67" s="84">
        <v>1.4450867052023121E-2</v>
      </c>
      <c r="BQ67" s="84">
        <v>0.96921723834652596</v>
      </c>
      <c r="BR67" s="84">
        <v>3.0782761653474055E-2</v>
      </c>
    </row>
    <row r="68" spans="1:70" s="4" customFormat="1" x14ac:dyDescent="0.25">
      <c r="A68" s="23"/>
      <c r="B68" s="23"/>
      <c r="C68" s="27"/>
      <c r="D68" s="27"/>
      <c r="E68" s="27"/>
      <c r="F68" s="27"/>
      <c r="G68" s="27"/>
      <c r="H68" s="27"/>
      <c r="I68" s="27"/>
      <c r="J68" s="27"/>
      <c r="K68" s="27"/>
      <c r="L68" s="27"/>
      <c r="M68" s="27"/>
      <c r="N68" s="27"/>
      <c r="O68" s="27"/>
      <c r="P68" s="27"/>
      <c r="Q68" s="27"/>
      <c r="R68" s="27"/>
      <c r="S68" s="27"/>
      <c r="T68" s="27"/>
      <c r="U68" s="27"/>
      <c r="V68" s="27"/>
      <c r="W68" s="27"/>
      <c r="X68" s="27"/>
      <c r="Y68" s="27"/>
      <c r="Z68" s="27"/>
      <c r="AA68" s="27"/>
      <c r="AB68" s="27"/>
      <c r="AC68" s="27"/>
      <c r="AD68" s="27"/>
      <c r="AE68" s="27"/>
      <c r="AF68" s="27"/>
      <c r="AG68" s="27"/>
      <c r="AH68" s="27"/>
      <c r="AI68" s="27"/>
      <c r="AJ68" s="27"/>
      <c r="AK68" s="27"/>
      <c r="AL68" s="27"/>
      <c r="AM68" s="27"/>
      <c r="AN68" s="27"/>
      <c r="AO68" s="27"/>
      <c r="AP68" s="27"/>
      <c r="AQ68" s="27"/>
      <c r="AR68" s="27"/>
      <c r="AS68" s="27"/>
      <c r="AT68" s="27"/>
      <c r="AU68" s="27"/>
      <c r="AV68" s="27"/>
      <c r="AW68" s="27"/>
      <c r="AX68" s="27"/>
      <c r="AY68" s="27"/>
      <c r="AZ68" s="27"/>
      <c r="BA68" s="27"/>
      <c r="BB68" s="27"/>
      <c r="BC68" s="27"/>
      <c r="BD68" s="27"/>
      <c r="BE68" s="27"/>
      <c r="BF68" s="27"/>
      <c r="BG68" s="27"/>
      <c r="BH68" s="27"/>
      <c r="BI68" s="27"/>
      <c r="BJ68" s="27"/>
      <c r="BK68" s="27"/>
      <c r="BL68" s="27"/>
      <c r="BM68" s="27"/>
      <c r="BN68" s="27"/>
      <c r="BO68" s="27"/>
      <c r="BP68" s="27"/>
      <c r="BQ68" s="27"/>
      <c r="BR68" s="27"/>
    </row>
    <row r="69" spans="1:70" s="4" customFormat="1" x14ac:dyDescent="0.25"/>
    <row r="70" spans="1:70" s="4" customFormat="1" ht="15.75" thickBot="1" x14ac:dyDescent="0.3">
      <c r="A70" s="94" t="s">
        <v>73</v>
      </c>
      <c r="B70" s="94"/>
      <c r="C70" s="114"/>
    </row>
    <row r="71" spans="1:70" s="4" customFormat="1" x14ac:dyDescent="0.25">
      <c r="A71" s="29"/>
      <c r="B71" s="51" t="s">
        <v>74</v>
      </c>
      <c r="C71" s="113" t="s">
        <v>5</v>
      </c>
      <c r="D71" s="113"/>
      <c r="E71" s="113" t="s">
        <v>6</v>
      </c>
      <c r="F71" s="113"/>
      <c r="G71" s="113" t="s">
        <v>7</v>
      </c>
      <c r="H71" s="113"/>
      <c r="I71" s="113" t="s">
        <v>8</v>
      </c>
      <c r="J71" s="113"/>
      <c r="K71" s="113" t="s">
        <v>9</v>
      </c>
      <c r="L71" s="113"/>
      <c r="M71" s="113" t="s">
        <v>10</v>
      </c>
      <c r="N71" s="113"/>
      <c r="O71" s="113" t="s">
        <v>11</v>
      </c>
      <c r="P71" s="113"/>
      <c r="Q71" s="113" t="s">
        <v>12</v>
      </c>
      <c r="R71" s="113"/>
      <c r="S71" s="113" t="s">
        <v>13</v>
      </c>
      <c r="T71" s="113"/>
      <c r="U71" s="113" t="s">
        <v>14</v>
      </c>
      <c r="V71" s="113"/>
      <c r="W71" s="113" t="s">
        <v>15</v>
      </c>
      <c r="X71" s="113"/>
      <c r="Y71" s="113" t="s">
        <v>16</v>
      </c>
      <c r="Z71" s="113"/>
      <c r="AA71" s="113" t="s">
        <v>17</v>
      </c>
      <c r="AB71" s="113"/>
      <c r="AC71" s="113" t="s">
        <v>18</v>
      </c>
      <c r="AD71" s="113"/>
      <c r="AE71" s="113" t="s">
        <v>19</v>
      </c>
      <c r="AF71" s="113"/>
      <c r="AG71" s="113" t="s">
        <v>20</v>
      </c>
      <c r="AH71" s="113"/>
      <c r="AI71" s="113" t="s">
        <v>21</v>
      </c>
      <c r="AJ71" s="113"/>
      <c r="AK71" s="113" t="s">
        <v>22</v>
      </c>
      <c r="AL71" s="113"/>
      <c r="AM71" s="113" t="s">
        <v>23</v>
      </c>
      <c r="AN71" s="113"/>
      <c r="AO71" s="113" t="s">
        <v>24</v>
      </c>
      <c r="AP71" s="113"/>
      <c r="AQ71" s="113" t="s">
        <v>25</v>
      </c>
      <c r="AR71" s="113"/>
      <c r="AS71" s="113" t="s">
        <v>26</v>
      </c>
      <c r="AT71" s="113"/>
      <c r="AU71" s="113" t="s">
        <v>27</v>
      </c>
      <c r="AV71" s="113"/>
      <c r="AW71" s="113" t="s">
        <v>28</v>
      </c>
      <c r="AX71" s="113"/>
      <c r="AY71" s="113" t="s">
        <v>29</v>
      </c>
      <c r="AZ71" s="113"/>
      <c r="BA71" s="113" t="s">
        <v>30</v>
      </c>
      <c r="BB71" s="113"/>
      <c r="BC71" s="113" t="s">
        <v>31</v>
      </c>
      <c r="BD71" s="113"/>
      <c r="BE71" s="113" t="s">
        <v>32</v>
      </c>
      <c r="BF71" s="113"/>
      <c r="BG71" s="113" t="s">
        <v>33</v>
      </c>
      <c r="BH71" s="113"/>
      <c r="BI71" s="113" t="s">
        <v>34</v>
      </c>
      <c r="BJ71" s="113"/>
      <c r="BK71" s="113" t="s">
        <v>86</v>
      </c>
      <c r="BL71" s="113"/>
      <c r="BM71" s="113" t="s">
        <v>35</v>
      </c>
      <c r="BN71" s="113"/>
      <c r="BO71" s="113" t="s">
        <v>36</v>
      </c>
      <c r="BP71" s="124"/>
      <c r="BQ71" s="141" t="s">
        <v>0</v>
      </c>
      <c r="BR71" s="142"/>
    </row>
    <row r="72" spans="1:70" s="4" customFormat="1" ht="15.75" thickBot="1" x14ac:dyDescent="0.3">
      <c r="A72" s="31" t="s">
        <v>39</v>
      </c>
      <c r="B72" s="52" t="s">
        <v>40</v>
      </c>
      <c r="C72" s="113"/>
      <c r="D72" s="113"/>
      <c r="E72" s="113"/>
      <c r="F72" s="113"/>
      <c r="G72" s="113"/>
      <c r="H72" s="113"/>
      <c r="I72" s="113"/>
      <c r="J72" s="113"/>
      <c r="K72" s="113"/>
      <c r="L72" s="113"/>
      <c r="M72" s="113"/>
      <c r="N72" s="113"/>
      <c r="O72" s="113"/>
      <c r="P72" s="113"/>
      <c r="Q72" s="113"/>
      <c r="R72" s="113"/>
      <c r="S72" s="113"/>
      <c r="T72" s="113"/>
      <c r="U72" s="113"/>
      <c r="V72" s="113"/>
      <c r="W72" s="113"/>
      <c r="X72" s="113"/>
      <c r="Y72" s="113"/>
      <c r="Z72" s="113"/>
      <c r="AA72" s="113"/>
      <c r="AB72" s="113"/>
      <c r="AC72" s="113"/>
      <c r="AD72" s="113"/>
      <c r="AE72" s="113"/>
      <c r="AF72" s="113"/>
      <c r="AG72" s="113"/>
      <c r="AH72" s="113"/>
      <c r="AI72" s="113"/>
      <c r="AJ72" s="113"/>
      <c r="AK72" s="113"/>
      <c r="AL72" s="113"/>
      <c r="AM72" s="113"/>
      <c r="AN72" s="113"/>
      <c r="AO72" s="113"/>
      <c r="AP72" s="113"/>
      <c r="AQ72" s="113"/>
      <c r="AR72" s="113"/>
      <c r="AS72" s="113"/>
      <c r="AT72" s="113"/>
      <c r="AU72" s="113"/>
      <c r="AV72" s="113"/>
      <c r="AW72" s="113"/>
      <c r="AX72" s="113"/>
      <c r="AY72" s="113"/>
      <c r="AZ72" s="113"/>
      <c r="BA72" s="113"/>
      <c r="BB72" s="113"/>
      <c r="BC72" s="113"/>
      <c r="BD72" s="113"/>
      <c r="BE72" s="113"/>
      <c r="BF72" s="113"/>
      <c r="BG72" s="113"/>
      <c r="BH72" s="113"/>
      <c r="BI72" s="113"/>
      <c r="BJ72" s="113"/>
      <c r="BK72" s="113"/>
      <c r="BL72" s="113"/>
      <c r="BM72" s="113"/>
      <c r="BN72" s="113"/>
      <c r="BO72" s="113"/>
      <c r="BP72" s="124"/>
      <c r="BQ72" s="143"/>
      <c r="BR72" s="144"/>
    </row>
    <row r="73" spans="1:70" s="4" customFormat="1" x14ac:dyDescent="0.25">
      <c r="A73" s="37" t="s">
        <v>87</v>
      </c>
      <c r="B73" s="38" t="s">
        <v>3</v>
      </c>
      <c r="C73" s="101"/>
      <c r="D73" s="102"/>
      <c r="E73" s="101"/>
      <c r="F73" s="102"/>
      <c r="G73" s="101"/>
      <c r="H73" s="102"/>
      <c r="I73" s="101"/>
      <c r="J73" s="102"/>
      <c r="K73" s="101"/>
      <c r="L73" s="102"/>
      <c r="M73" s="101"/>
      <c r="N73" s="102"/>
      <c r="O73" s="101"/>
      <c r="P73" s="102"/>
      <c r="Q73" s="157"/>
      <c r="R73" s="158"/>
      <c r="S73" s="101"/>
      <c r="T73" s="102"/>
      <c r="U73" s="101"/>
      <c r="V73" s="102"/>
      <c r="W73" s="101"/>
      <c r="X73" s="102"/>
      <c r="Y73" s="101"/>
      <c r="Z73" s="102"/>
      <c r="AA73" s="101"/>
      <c r="AB73" s="102"/>
      <c r="AC73" s="159"/>
      <c r="AD73" s="160"/>
      <c r="AE73" s="101"/>
      <c r="AF73" s="102"/>
      <c r="AG73" s="101"/>
      <c r="AH73" s="102"/>
      <c r="AI73" s="101"/>
      <c r="AJ73" s="102"/>
      <c r="AK73" s="101"/>
      <c r="AL73" s="102"/>
      <c r="AM73" s="101"/>
      <c r="AN73" s="102"/>
      <c r="AO73" s="101"/>
      <c r="AP73" s="102"/>
      <c r="AQ73" s="101"/>
      <c r="AR73" s="102"/>
      <c r="AS73" s="101"/>
      <c r="AT73" s="102"/>
      <c r="AU73" s="101"/>
      <c r="AV73" s="102"/>
      <c r="AW73" s="101"/>
      <c r="AX73" s="102"/>
      <c r="AY73" s="101"/>
      <c r="AZ73" s="102"/>
      <c r="BA73" s="101"/>
      <c r="BB73" s="102"/>
      <c r="BC73" s="101"/>
      <c r="BD73" s="102"/>
      <c r="BE73" s="101"/>
      <c r="BF73" s="102"/>
      <c r="BG73" s="101"/>
      <c r="BH73" s="102"/>
      <c r="BI73" s="101"/>
      <c r="BJ73" s="102"/>
      <c r="BK73" s="101"/>
      <c r="BL73" s="102"/>
      <c r="BM73" s="101"/>
      <c r="BN73" s="102"/>
      <c r="BO73" s="101"/>
      <c r="BP73" s="102"/>
      <c r="BQ73" s="131">
        <f>SUM(C73,E73,G73,I73,K73,M73,O73,Q73,S73,U73,W73,Y73,AA73,AC73,AE73,AG73,AI73,AK73,AM73,AO73,AQ73,AS73,AU73,AW73,AY73,BA73,BC73,BE73,BG73,BI73,BK73,BM73,BO73)</f>
        <v>0</v>
      </c>
      <c r="BR73" s="132"/>
    </row>
    <row r="74" spans="1:70" s="4" customFormat="1" x14ac:dyDescent="0.25">
      <c r="A74" s="33" t="s">
        <v>88</v>
      </c>
      <c r="B74" s="34" t="s">
        <v>41</v>
      </c>
      <c r="C74" s="101"/>
      <c r="D74" s="102"/>
      <c r="E74" s="101"/>
      <c r="F74" s="102"/>
      <c r="G74" s="101">
        <v>6</v>
      </c>
      <c r="H74" s="102"/>
      <c r="I74" s="101">
        <v>14</v>
      </c>
      <c r="J74" s="102"/>
      <c r="K74" s="101">
        <v>2</v>
      </c>
      <c r="L74" s="102"/>
      <c r="M74" s="101">
        <v>75</v>
      </c>
      <c r="N74" s="102"/>
      <c r="O74" s="101"/>
      <c r="P74" s="102"/>
      <c r="Q74" s="157"/>
      <c r="R74" s="158"/>
      <c r="S74" s="101"/>
      <c r="T74" s="102"/>
      <c r="U74" s="101"/>
      <c r="V74" s="102"/>
      <c r="W74" s="101">
        <f>18+2</f>
        <v>20</v>
      </c>
      <c r="X74" s="102"/>
      <c r="Y74" s="101">
        <v>14</v>
      </c>
      <c r="Z74" s="102"/>
      <c r="AA74" s="101"/>
      <c r="AB74" s="102"/>
      <c r="AC74" s="101">
        <f>598+1+9+6</f>
        <v>614</v>
      </c>
      <c r="AD74" s="102"/>
      <c r="AE74" s="101">
        <v>39</v>
      </c>
      <c r="AF74" s="102"/>
      <c r="AG74" s="101">
        <f>62+3</f>
        <v>65</v>
      </c>
      <c r="AH74" s="102"/>
      <c r="AI74" s="101"/>
      <c r="AJ74" s="102"/>
      <c r="AK74" s="101"/>
      <c r="AL74" s="102"/>
      <c r="AM74" s="101"/>
      <c r="AN74" s="102"/>
      <c r="AO74" s="101"/>
      <c r="AP74" s="102"/>
      <c r="AQ74" s="101">
        <f>7+1+7</f>
        <v>15</v>
      </c>
      <c r="AR74" s="102"/>
      <c r="AS74" s="101"/>
      <c r="AT74" s="102"/>
      <c r="AU74" s="101"/>
      <c r="AV74" s="102"/>
      <c r="AW74" s="101"/>
      <c r="AX74" s="102"/>
      <c r="AY74" s="101">
        <v>28</v>
      </c>
      <c r="AZ74" s="102"/>
      <c r="BA74" s="101">
        <v>133</v>
      </c>
      <c r="BB74" s="102"/>
      <c r="BC74" s="101"/>
      <c r="BD74" s="102"/>
      <c r="BE74" s="101"/>
      <c r="BF74" s="102"/>
      <c r="BG74" s="101">
        <v>65</v>
      </c>
      <c r="BH74" s="102"/>
      <c r="BI74" s="101"/>
      <c r="BJ74" s="102"/>
      <c r="BK74" s="101"/>
      <c r="BL74" s="102"/>
      <c r="BM74" s="101"/>
      <c r="BN74" s="102"/>
      <c r="BO74" s="101"/>
      <c r="BP74" s="102"/>
      <c r="BQ74" s="133">
        <f t="shared" ref="BQ74:BQ86" si="34">SUM(C74,E74,G74,I74,K74,M74,O74,Q74,S74,U74,W74,Y74,AA74,AC74,AE74,AG74,AI74,AK74,AM74,AO74,AQ74,AS74,AU74,AW74,AY74,BA74,BC74,BE74,BG74,BI74,BK74,BM74,BO74)</f>
        <v>1090</v>
      </c>
      <c r="BR74" s="134"/>
    </row>
    <row r="75" spans="1:70" s="4" customFormat="1" x14ac:dyDescent="0.25">
      <c r="A75" s="33"/>
      <c r="B75" s="34" t="s">
        <v>75</v>
      </c>
      <c r="C75" s="101"/>
      <c r="D75" s="102"/>
      <c r="E75" s="101"/>
      <c r="F75" s="102"/>
      <c r="G75" s="101">
        <v>613</v>
      </c>
      <c r="H75" s="102"/>
      <c r="I75" s="101">
        <v>384</v>
      </c>
      <c r="J75" s="102"/>
      <c r="K75" s="101">
        <v>33</v>
      </c>
      <c r="L75" s="102"/>
      <c r="M75" s="101">
        <v>441</v>
      </c>
      <c r="N75" s="102"/>
      <c r="O75" s="101"/>
      <c r="P75" s="102"/>
      <c r="Q75" s="157"/>
      <c r="R75" s="158"/>
      <c r="S75" s="101"/>
      <c r="T75" s="102"/>
      <c r="U75" s="101"/>
      <c r="V75" s="102"/>
      <c r="W75" s="101"/>
      <c r="X75" s="102"/>
      <c r="Y75" s="101"/>
      <c r="Z75" s="102"/>
      <c r="AA75" s="101">
        <v>15</v>
      </c>
      <c r="AB75" s="102"/>
      <c r="AC75" s="101"/>
      <c r="AD75" s="102"/>
      <c r="AE75" s="101"/>
      <c r="AF75" s="102"/>
      <c r="AG75" s="101"/>
      <c r="AH75" s="102"/>
      <c r="AI75" s="101"/>
      <c r="AJ75" s="102"/>
      <c r="AK75" s="101"/>
      <c r="AL75" s="102"/>
      <c r="AM75" s="101"/>
      <c r="AN75" s="102"/>
      <c r="AO75" s="101"/>
      <c r="AP75" s="102"/>
      <c r="AQ75" s="101">
        <f>65+2+3</f>
        <v>70</v>
      </c>
      <c r="AR75" s="102"/>
      <c r="AS75" s="101"/>
      <c r="AT75" s="102"/>
      <c r="AU75" s="101"/>
      <c r="AV75" s="102"/>
      <c r="AW75" s="101"/>
      <c r="AX75" s="102"/>
      <c r="AY75" s="101"/>
      <c r="AZ75" s="102"/>
      <c r="BA75" s="101"/>
      <c r="BB75" s="102"/>
      <c r="BC75" s="101">
        <v>13</v>
      </c>
      <c r="BD75" s="102"/>
      <c r="BE75" s="101"/>
      <c r="BF75" s="102"/>
      <c r="BG75" s="101">
        <f>177+9</f>
        <v>186</v>
      </c>
      <c r="BH75" s="102"/>
      <c r="BI75" s="101"/>
      <c r="BJ75" s="102"/>
      <c r="BK75" s="101"/>
      <c r="BL75" s="102"/>
      <c r="BM75" s="101"/>
      <c r="BN75" s="102"/>
      <c r="BO75" s="101">
        <v>33</v>
      </c>
      <c r="BP75" s="102"/>
      <c r="BQ75" s="133">
        <f t="shared" si="34"/>
        <v>1788</v>
      </c>
      <c r="BR75" s="134"/>
    </row>
    <row r="76" spans="1:70" s="4" customFormat="1" x14ac:dyDescent="0.25">
      <c r="A76" s="33"/>
      <c r="B76" s="34" t="s">
        <v>42</v>
      </c>
      <c r="C76" s="101"/>
      <c r="D76" s="102"/>
      <c r="E76" s="101">
        <v>61</v>
      </c>
      <c r="F76" s="102"/>
      <c r="G76" s="101">
        <v>630</v>
      </c>
      <c r="H76" s="102"/>
      <c r="I76" s="101">
        <v>37</v>
      </c>
      <c r="J76" s="102"/>
      <c r="K76" s="101"/>
      <c r="L76" s="102"/>
      <c r="M76" s="101">
        <v>175</v>
      </c>
      <c r="N76" s="102"/>
      <c r="O76" s="101"/>
      <c r="P76" s="102"/>
      <c r="Q76" s="157"/>
      <c r="R76" s="158"/>
      <c r="S76" s="101"/>
      <c r="T76" s="102"/>
      <c r="U76" s="101"/>
      <c r="V76" s="102"/>
      <c r="W76" s="101">
        <f>81+5</f>
        <v>86</v>
      </c>
      <c r="X76" s="102"/>
      <c r="Y76" s="101">
        <f>16+6</f>
        <v>22</v>
      </c>
      <c r="Z76" s="102"/>
      <c r="AA76" s="101">
        <v>144</v>
      </c>
      <c r="AB76" s="102"/>
      <c r="AC76" s="101">
        <v>821</v>
      </c>
      <c r="AD76" s="102"/>
      <c r="AE76" s="101">
        <v>399</v>
      </c>
      <c r="AF76" s="102"/>
      <c r="AG76" s="101">
        <v>108</v>
      </c>
      <c r="AH76" s="102"/>
      <c r="AI76" s="101">
        <v>149</v>
      </c>
      <c r="AJ76" s="102"/>
      <c r="AK76" s="101">
        <f>23+2</f>
        <v>25</v>
      </c>
      <c r="AL76" s="102"/>
      <c r="AM76" s="101">
        <v>206</v>
      </c>
      <c r="AN76" s="102"/>
      <c r="AO76" s="101">
        <v>15</v>
      </c>
      <c r="AP76" s="102"/>
      <c r="AQ76" s="101">
        <v>13</v>
      </c>
      <c r="AR76" s="102"/>
      <c r="AS76" s="101">
        <v>21</v>
      </c>
      <c r="AT76" s="102"/>
      <c r="AU76" s="101">
        <f>77+7</f>
        <v>84</v>
      </c>
      <c r="AV76" s="102"/>
      <c r="AW76" s="101">
        <f>99+6</f>
        <v>105</v>
      </c>
      <c r="AX76" s="102"/>
      <c r="AY76" s="101">
        <f>76+1</f>
        <v>77</v>
      </c>
      <c r="AZ76" s="102"/>
      <c r="BA76" s="101">
        <v>181</v>
      </c>
      <c r="BB76" s="102"/>
      <c r="BC76" s="101">
        <v>35</v>
      </c>
      <c r="BD76" s="102"/>
      <c r="BE76" s="101"/>
      <c r="BF76" s="102"/>
      <c r="BG76" s="101">
        <f>232+7</f>
        <v>239</v>
      </c>
      <c r="BH76" s="102"/>
      <c r="BI76" s="101"/>
      <c r="BJ76" s="102"/>
      <c r="BK76" s="101"/>
      <c r="BL76" s="102"/>
      <c r="BM76" s="101">
        <v>25</v>
      </c>
      <c r="BN76" s="102"/>
      <c r="BO76" s="101">
        <v>318</v>
      </c>
      <c r="BP76" s="102"/>
      <c r="BQ76" s="133">
        <f t="shared" si="34"/>
        <v>3976</v>
      </c>
      <c r="BR76" s="134"/>
    </row>
    <row r="77" spans="1:70" s="4" customFormat="1" x14ac:dyDescent="0.25">
      <c r="A77" s="33"/>
      <c r="B77" s="34" t="s">
        <v>76</v>
      </c>
      <c r="C77" s="101"/>
      <c r="D77" s="102"/>
      <c r="E77" s="101">
        <v>17</v>
      </c>
      <c r="F77" s="102"/>
      <c r="G77" s="101">
        <v>133</v>
      </c>
      <c r="H77" s="102"/>
      <c r="I77" s="101">
        <f>661+3</f>
        <v>664</v>
      </c>
      <c r="J77" s="102"/>
      <c r="K77" s="101">
        <v>121</v>
      </c>
      <c r="L77" s="102"/>
      <c r="M77" s="101">
        <v>801</v>
      </c>
      <c r="N77" s="102"/>
      <c r="O77" s="101">
        <f>11+1</f>
        <v>12</v>
      </c>
      <c r="P77" s="102"/>
      <c r="Q77" s="157"/>
      <c r="R77" s="158"/>
      <c r="S77" s="101">
        <v>60</v>
      </c>
      <c r="T77" s="102"/>
      <c r="U77" s="101">
        <v>50</v>
      </c>
      <c r="V77" s="102"/>
      <c r="W77" s="101">
        <v>11</v>
      </c>
      <c r="X77" s="102"/>
      <c r="Y77" s="101"/>
      <c r="Z77" s="102"/>
      <c r="AA77" s="101">
        <v>275</v>
      </c>
      <c r="AB77" s="102"/>
      <c r="AC77" s="101"/>
      <c r="AD77" s="102"/>
      <c r="AE77" s="101">
        <v>67</v>
      </c>
      <c r="AF77" s="102"/>
      <c r="AG77" s="101">
        <v>62</v>
      </c>
      <c r="AH77" s="102"/>
      <c r="AI77" s="101">
        <v>75</v>
      </c>
      <c r="AJ77" s="102"/>
      <c r="AK77" s="101"/>
      <c r="AL77" s="102"/>
      <c r="AM77" s="101">
        <f>215+4</f>
        <v>219</v>
      </c>
      <c r="AN77" s="102"/>
      <c r="AO77" s="101">
        <v>35</v>
      </c>
      <c r="AP77" s="102"/>
      <c r="AQ77" s="101">
        <v>27</v>
      </c>
      <c r="AR77" s="102"/>
      <c r="AS77" s="101">
        <v>17</v>
      </c>
      <c r="AT77" s="102"/>
      <c r="AU77" s="101"/>
      <c r="AV77" s="102"/>
      <c r="AW77" s="101"/>
      <c r="AX77" s="102"/>
      <c r="AY77" s="101"/>
      <c r="AZ77" s="102"/>
      <c r="BA77" s="101">
        <v>141</v>
      </c>
      <c r="BB77" s="102"/>
      <c r="BC77" s="101">
        <v>27</v>
      </c>
      <c r="BD77" s="102"/>
      <c r="BE77" s="101">
        <v>11</v>
      </c>
      <c r="BF77" s="102"/>
      <c r="BG77" s="101">
        <f>289+3</f>
        <v>292</v>
      </c>
      <c r="BH77" s="102"/>
      <c r="BI77" s="101"/>
      <c r="BJ77" s="102"/>
      <c r="BK77" s="101"/>
      <c r="BL77" s="102"/>
      <c r="BM77" s="101"/>
      <c r="BN77" s="102"/>
      <c r="BO77" s="101">
        <v>18</v>
      </c>
      <c r="BP77" s="102"/>
      <c r="BQ77" s="133">
        <f t="shared" si="34"/>
        <v>3135</v>
      </c>
      <c r="BR77" s="134"/>
    </row>
    <row r="78" spans="1:70" s="4" customFormat="1" x14ac:dyDescent="0.25">
      <c r="A78" s="33"/>
      <c r="B78" s="34" t="s">
        <v>77</v>
      </c>
      <c r="C78" s="101"/>
      <c r="D78" s="102"/>
      <c r="E78" s="101"/>
      <c r="F78" s="102"/>
      <c r="G78" s="101">
        <f>282+4+3</f>
        <v>289</v>
      </c>
      <c r="H78" s="102"/>
      <c r="I78" s="101"/>
      <c r="J78" s="102"/>
      <c r="K78" s="101"/>
      <c r="L78" s="102"/>
      <c r="M78" s="101">
        <v>50</v>
      </c>
      <c r="N78" s="102"/>
      <c r="O78" s="101"/>
      <c r="P78" s="102"/>
      <c r="Q78" s="157"/>
      <c r="R78" s="158"/>
      <c r="S78" s="101"/>
      <c r="T78" s="102"/>
      <c r="U78" s="101"/>
      <c r="V78" s="102"/>
      <c r="W78" s="101">
        <v>73</v>
      </c>
      <c r="X78" s="102"/>
      <c r="Y78" s="101">
        <v>102</v>
      </c>
      <c r="Z78" s="102"/>
      <c r="AA78" s="101">
        <v>21</v>
      </c>
      <c r="AB78" s="102"/>
      <c r="AC78" s="101">
        <v>446</v>
      </c>
      <c r="AD78" s="102"/>
      <c r="AE78" s="101">
        <v>131</v>
      </c>
      <c r="AF78" s="102"/>
      <c r="AG78" s="101">
        <v>41</v>
      </c>
      <c r="AH78" s="102"/>
      <c r="AI78" s="101">
        <v>38</v>
      </c>
      <c r="AJ78" s="102"/>
      <c r="AK78" s="101">
        <f>9+2</f>
        <v>11</v>
      </c>
      <c r="AL78" s="102"/>
      <c r="AM78" s="101"/>
      <c r="AN78" s="102"/>
      <c r="AO78" s="101"/>
      <c r="AP78" s="102"/>
      <c r="AQ78" s="101"/>
      <c r="AR78" s="102"/>
      <c r="AS78" s="101"/>
      <c r="AT78" s="102"/>
      <c r="AU78" s="101">
        <v>36</v>
      </c>
      <c r="AV78" s="102"/>
      <c r="AW78" s="101">
        <v>82</v>
      </c>
      <c r="AX78" s="102"/>
      <c r="AY78" s="101"/>
      <c r="AZ78" s="102"/>
      <c r="BA78" s="101">
        <f>46+7+6</f>
        <v>59</v>
      </c>
      <c r="BB78" s="102"/>
      <c r="BC78" s="101">
        <v>45</v>
      </c>
      <c r="BD78" s="102"/>
      <c r="BE78" s="101"/>
      <c r="BF78" s="102"/>
      <c r="BG78" s="101"/>
      <c r="BH78" s="102"/>
      <c r="BI78" s="101"/>
      <c r="BJ78" s="102"/>
      <c r="BK78" s="101"/>
      <c r="BL78" s="102"/>
      <c r="BM78" s="101"/>
      <c r="BN78" s="102"/>
      <c r="BO78" s="101">
        <f>326+2</f>
        <v>328</v>
      </c>
      <c r="BP78" s="102"/>
      <c r="BQ78" s="133">
        <f t="shared" si="34"/>
        <v>1752</v>
      </c>
      <c r="BR78" s="134"/>
    </row>
    <row r="79" spans="1:70" s="4" customFormat="1" x14ac:dyDescent="0.25">
      <c r="A79" s="33" t="s">
        <v>89</v>
      </c>
      <c r="B79" s="34" t="s">
        <v>78</v>
      </c>
      <c r="C79" s="101">
        <f>11+3</f>
        <v>14</v>
      </c>
      <c r="D79" s="102"/>
      <c r="E79" s="101">
        <f>6+4</f>
        <v>10</v>
      </c>
      <c r="F79" s="102"/>
      <c r="G79" s="101">
        <v>406</v>
      </c>
      <c r="H79" s="102"/>
      <c r="I79" s="101">
        <v>138</v>
      </c>
      <c r="J79" s="102"/>
      <c r="K79" s="101">
        <v>11</v>
      </c>
      <c r="L79" s="102"/>
      <c r="M79" s="101">
        <v>212</v>
      </c>
      <c r="N79" s="102"/>
      <c r="O79" s="101">
        <f>28+1</f>
        <v>29</v>
      </c>
      <c r="P79" s="102"/>
      <c r="Q79" s="157"/>
      <c r="R79" s="158"/>
      <c r="S79" s="101">
        <f>38+1+3</f>
        <v>42</v>
      </c>
      <c r="T79" s="102"/>
      <c r="U79" s="101">
        <f>104+6</f>
        <v>110</v>
      </c>
      <c r="V79" s="102"/>
      <c r="W79" s="101">
        <f>66+7</f>
        <v>73</v>
      </c>
      <c r="X79" s="102"/>
      <c r="Y79" s="101">
        <v>15</v>
      </c>
      <c r="Z79" s="102"/>
      <c r="AA79" s="101">
        <v>194</v>
      </c>
      <c r="AB79" s="102"/>
      <c r="AC79" s="101">
        <v>71</v>
      </c>
      <c r="AD79" s="102"/>
      <c r="AE79" s="101">
        <v>136</v>
      </c>
      <c r="AF79" s="102"/>
      <c r="AG79" s="101">
        <v>42</v>
      </c>
      <c r="AH79" s="102"/>
      <c r="AI79" s="101">
        <v>10</v>
      </c>
      <c r="AJ79" s="102"/>
      <c r="AK79" s="101"/>
      <c r="AL79" s="102"/>
      <c r="AM79" s="101">
        <v>153</v>
      </c>
      <c r="AN79" s="102"/>
      <c r="AO79" s="101">
        <v>11</v>
      </c>
      <c r="AP79" s="102"/>
      <c r="AQ79" s="101">
        <f>526+1</f>
        <v>527</v>
      </c>
      <c r="AR79" s="102"/>
      <c r="AS79" s="101">
        <v>25</v>
      </c>
      <c r="AT79" s="102"/>
      <c r="AU79" s="101">
        <v>43</v>
      </c>
      <c r="AV79" s="102"/>
      <c r="AW79" s="101">
        <v>14</v>
      </c>
      <c r="AX79" s="102"/>
      <c r="AY79" s="101"/>
      <c r="AZ79" s="102"/>
      <c r="BA79" s="101"/>
      <c r="BB79" s="102"/>
      <c r="BC79" s="101">
        <v>33</v>
      </c>
      <c r="BD79" s="102"/>
      <c r="BE79" s="101"/>
      <c r="BF79" s="102"/>
      <c r="BG79" s="101">
        <f>360+6</f>
        <v>366</v>
      </c>
      <c r="BH79" s="102"/>
      <c r="BI79" s="101"/>
      <c r="BJ79" s="102"/>
      <c r="BK79" s="101"/>
      <c r="BL79" s="102"/>
      <c r="BM79" s="101"/>
      <c r="BN79" s="102"/>
      <c r="BO79" s="101">
        <f>279+1</f>
        <v>280</v>
      </c>
      <c r="BP79" s="102"/>
      <c r="BQ79" s="133">
        <f t="shared" si="34"/>
        <v>2965</v>
      </c>
      <c r="BR79" s="134"/>
    </row>
    <row r="80" spans="1:70" s="4" customFormat="1" x14ac:dyDescent="0.25">
      <c r="A80" s="33"/>
      <c r="B80" s="34" t="s">
        <v>44</v>
      </c>
      <c r="C80" s="101"/>
      <c r="D80" s="102"/>
      <c r="E80" s="101"/>
      <c r="F80" s="102"/>
      <c r="G80" s="101">
        <v>16</v>
      </c>
      <c r="H80" s="102"/>
      <c r="I80" s="101"/>
      <c r="J80" s="102"/>
      <c r="K80" s="101"/>
      <c r="L80" s="102"/>
      <c r="M80" s="101"/>
      <c r="N80" s="102"/>
      <c r="O80" s="101"/>
      <c r="P80" s="102"/>
      <c r="Q80" s="157"/>
      <c r="R80" s="158"/>
      <c r="S80" s="101"/>
      <c r="T80" s="102"/>
      <c r="U80" s="101"/>
      <c r="V80" s="102"/>
      <c r="W80" s="101"/>
      <c r="X80" s="102"/>
      <c r="Y80" s="101">
        <v>16</v>
      </c>
      <c r="Z80" s="102"/>
      <c r="AA80" s="101">
        <f>20+4</f>
        <v>24</v>
      </c>
      <c r="AB80" s="102"/>
      <c r="AC80" s="101"/>
      <c r="AD80" s="102"/>
      <c r="AE80" s="101">
        <v>260</v>
      </c>
      <c r="AF80" s="102"/>
      <c r="AG80" s="101">
        <f>22+4</f>
        <v>26</v>
      </c>
      <c r="AH80" s="102"/>
      <c r="AI80" s="101"/>
      <c r="AJ80" s="102"/>
      <c r="AK80" s="101">
        <f>29+5</f>
        <v>34</v>
      </c>
      <c r="AL80" s="102"/>
      <c r="AM80" s="101">
        <v>12</v>
      </c>
      <c r="AN80" s="102"/>
      <c r="AO80" s="101"/>
      <c r="AP80" s="102"/>
      <c r="AQ80" s="101"/>
      <c r="AR80" s="102"/>
      <c r="AS80" s="101"/>
      <c r="AT80" s="102"/>
      <c r="AU80" s="101">
        <v>31</v>
      </c>
      <c r="AV80" s="102"/>
      <c r="AW80" s="101">
        <v>28</v>
      </c>
      <c r="AX80" s="102"/>
      <c r="AY80" s="101">
        <v>39</v>
      </c>
      <c r="AZ80" s="102"/>
      <c r="BA80" s="101">
        <v>64</v>
      </c>
      <c r="BB80" s="102"/>
      <c r="BC80" s="101">
        <v>22</v>
      </c>
      <c r="BD80" s="102"/>
      <c r="BE80" s="101"/>
      <c r="BF80" s="102"/>
      <c r="BG80" s="101">
        <f>61+1</f>
        <v>62</v>
      </c>
      <c r="BH80" s="102"/>
      <c r="BI80" s="101"/>
      <c r="BJ80" s="102"/>
      <c r="BK80" s="101"/>
      <c r="BL80" s="102"/>
      <c r="BM80" s="101"/>
      <c r="BN80" s="102"/>
      <c r="BO80" s="101">
        <v>66</v>
      </c>
      <c r="BP80" s="102"/>
      <c r="BQ80" s="133">
        <f t="shared" si="34"/>
        <v>700</v>
      </c>
      <c r="BR80" s="134"/>
    </row>
    <row r="81" spans="1:70" s="4" customFormat="1" x14ac:dyDescent="0.25">
      <c r="A81" s="33"/>
      <c r="B81" s="34" t="s">
        <v>45</v>
      </c>
      <c r="C81" s="101"/>
      <c r="D81" s="102"/>
      <c r="E81" s="101"/>
      <c r="F81" s="102"/>
      <c r="G81" s="101">
        <f>64+2</f>
        <v>66</v>
      </c>
      <c r="H81" s="102"/>
      <c r="I81" s="101"/>
      <c r="J81" s="102"/>
      <c r="K81" s="101"/>
      <c r="L81" s="102"/>
      <c r="M81" s="101">
        <v>38</v>
      </c>
      <c r="N81" s="102"/>
      <c r="O81" s="101"/>
      <c r="P81" s="102"/>
      <c r="Q81" s="157"/>
      <c r="R81" s="158"/>
      <c r="S81" s="101"/>
      <c r="T81" s="102"/>
      <c r="U81" s="101"/>
      <c r="V81" s="102"/>
      <c r="W81" s="101"/>
      <c r="X81" s="102"/>
      <c r="Y81" s="101"/>
      <c r="Z81" s="102"/>
      <c r="AA81" s="101"/>
      <c r="AB81" s="102"/>
      <c r="AC81" s="101"/>
      <c r="AD81" s="102"/>
      <c r="AE81" s="101"/>
      <c r="AF81" s="102"/>
      <c r="AG81" s="101"/>
      <c r="AH81" s="102"/>
      <c r="AI81" s="101"/>
      <c r="AJ81" s="102"/>
      <c r="AK81" s="101"/>
      <c r="AL81" s="102"/>
      <c r="AM81" s="101"/>
      <c r="AN81" s="102"/>
      <c r="AO81" s="101"/>
      <c r="AP81" s="102"/>
      <c r="AQ81" s="101"/>
      <c r="AR81" s="102"/>
      <c r="AS81" s="101"/>
      <c r="AT81" s="102"/>
      <c r="AU81" s="101">
        <f>7+7+4</f>
        <v>18</v>
      </c>
      <c r="AV81" s="102"/>
      <c r="AW81" s="101">
        <v>16</v>
      </c>
      <c r="AX81" s="102"/>
      <c r="AY81" s="101">
        <v>48</v>
      </c>
      <c r="AZ81" s="102"/>
      <c r="BA81" s="101">
        <v>93</v>
      </c>
      <c r="BB81" s="102"/>
      <c r="BC81" s="101">
        <v>37</v>
      </c>
      <c r="BD81" s="102"/>
      <c r="BE81" s="101">
        <v>10</v>
      </c>
      <c r="BF81" s="102"/>
      <c r="BG81" s="101">
        <f>89+1+1</f>
        <v>91</v>
      </c>
      <c r="BH81" s="102"/>
      <c r="BI81" s="101"/>
      <c r="BJ81" s="102"/>
      <c r="BK81" s="101"/>
      <c r="BL81" s="102"/>
      <c r="BM81" s="101"/>
      <c r="BN81" s="102"/>
      <c r="BO81" s="101"/>
      <c r="BP81" s="102"/>
      <c r="BQ81" s="133">
        <f t="shared" si="34"/>
        <v>417</v>
      </c>
      <c r="BR81" s="134"/>
    </row>
    <row r="82" spans="1:70" s="4" customFormat="1" x14ac:dyDescent="0.25">
      <c r="A82" s="33"/>
      <c r="B82" s="34" t="s">
        <v>46</v>
      </c>
      <c r="C82" s="101"/>
      <c r="D82" s="102"/>
      <c r="E82" s="101">
        <v>12</v>
      </c>
      <c r="F82" s="102"/>
      <c r="G82" s="101">
        <v>10</v>
      </c>
      <c r="H82" s="102"/>
      <c r="I82" s="101">
        <v>40</v>
      </c>
      <c r="J82" s="102"/>
      <c r="K82" s="101"/>
      <c r="L82" s="102"/>
      <c r="M82" s="101">
        <f>93+1+2</f>
        <v>96</v>
      </c>
      <c r="N82" s="102"/>
      <c r="O82" s="101">
        <v>32</v>
      </c>
      <c r="P82" s="102"/>
      <c r="Q82" s="157"/>
      <c r="R82" s="158"/>
      <c r="S82" s="101">
        <f>40+3</f>
        <v>43</v>
      </c>
      <c r="T82" s="102"/>
      <c r="U82" s="101">
        <v>30</v>
      </c>
      <c r="V82" s="102"/>
      <c r="W82" s="101"/>
      <c r="X82" s="102"/>
      <c r="Y82" s="101">
        <v>12</v>
      </c>
      <c r="Z82" s="102"/>
      <c r="AA82" s="101">
        <f>11+1</f>
        <v>12</v>
      </c>
      <c r="AB82" s="102"/>
      <c r="AC82" s="101"/>
      <c r="AD82" s="102"/>
      <c r="AE82" s="101"/>
      <c r="AF82" s="102"/>
      <c r="AG82" s="101"/>
      <c r="AH82" s="102"/>
      <c r="AI82" s="101"/>
      <c r="AJ82" s="102"/>
      <c r="AK82" s="101"/>
      <c r="AL82" s="102"/>
      <c r="AM82" s="101">
        <f>58+3+4</f>
        <v>65</v>
      </c>
      <c r="AN82" s="102"/>
      <c r="AO82" s="101">
        <f>25+9</f>
        <v>34</v>
      </c>
      <c r="AP82" s="102"/>
      <c r="AQ82" s="101">
        <v>109</v>
      </c>
      <c r="AR82" s="102"/>
      <c r="AS82" s="101">
        <v>83</v>
      </c>
      <c r="AT82" s="102"/>
      <c r="AU82" s="101"/>
      <c r="AV82" s="102"/>
      <c r="AW82" s="101"/>
      <c r="AX82" s="102"/>
      <c r="AY82" s="101">
        <v>57</v>
      </c>
      <c r="AZ82" s="102"/>
      <c r="BA82" s="101">
        <v>57</v>
      </c>
      <c r="BB82" s="102"/>
      <c r="BC82" s="101">
        <f>32+8</f>
        <v>40</v>
      </c>
      <c r="BD82" s="102"/>
      <c r="BE82" s="101"/>
      <c r="BF82" s="102"/>
      <c r="BG82" s="101"/>
      <c r="BH82" s="102"/>
      <c r="BI82" s="101"/>
      <c r="BJ82" s="102"/>
      <c r="BK82" s="101"/>
      <c r="BL82" s="102"/>
      <c r="BM82" s="101">
        <v>25</v>
      </c>
      <c r="BN82" s="102"/>
      <c r="BO82" s="101"/>
      <c r="BP82" s="102"/>
      <c r="BQ82" s="133">
        <f t="shared" si="34"/>
        <v>757</v>
      </c>
      <c r="BR82" s="134"/>
    </row>
    <row r="83" spans="1:70" s="4" customFormat="1" ht="15.75" x14ac:dyDescent="0.25">
      <c r="A83" s="33"/>
      <c r="B83" s="34" t="s">
        <v>47</v>
      </c>
      <c r="C83" s="101"/>
      <c r="D83" s="102"/>
      <c r="E83" s="101"/>
      <c r="F83" s="102"/>
      <c r="G83" s="101"/>
      <c r="H83" s="102"/>
      <c r="I83" s="101"/>
      <c r="J83" s="102"/>
      <c r="K83" s="101"/>
      <c r="L83" s="102"/>
      <c r="M83" s="101"/>
      <c r="N83" s="102"/>
      <c r="O83" s="101"/>
      <c r="P83" s="102"/>
      <c r="Q83" s="157"/>
      <c r="R83" s="158"/>
      <c r="S83" s="101"/>
      <c r="T83" s="102"/>
      <c r="U83" s="101"/>
      <c r="V83" s="102"/>
      <c r="W83" s="101"/>
      <c r="X83" s="102"/>
      <c r="Y83" s="101">
        <f>18+9+1</f>
        <v>28</v>
      </c>
      <c r="Z83" s="102"/>
      <c r="AA83" s="101"/>
      <c r="AB83" s="102"/>
      <c r="AC83" s="101"/>
      <c r="AD83" s="102"/>
      <c r="AE83" s="101">
        <v>29</v>
      </c>
      <c r="AF83" s="102"/>
      <c r="AG83" s="101">
        <v>10</v>
      </c>
      <c r="AH83" s="102"/>
      <c r="AI83" s="101"/>
      <c r="AJ83" s="102"/>
      <c r="AK83" s="101">
        <f>16+1</f>
        <v>17</v>
      </c>
      <c r="AL83" s="102"/>
      <c r="AM83" s="101">
        <f>10+2</f>
        <v>12</v>
      </c>
      <c r="AN83" s="102"/>
      <c r="AO83" s="101"/>
      <c r="AP83" s="102"/>
      <c r="AQ83" s="101">
        <v>32</v>
      </c>
      <c r="AR83" s="102"/>
      <c r="AS83" s="101">
        <f>11+2</f>
        <v>13</v>
      </c>
      <c r="AT83" s="102"/>
      <c r="AU83" s="101">
        <f>5+8</f>
        <v>13</v>
      </c>
      <c r="AV83" s="102"/>
      <c r="AW83" s="101"/>
      <c r="AX83" s="102"/>
      <c r="AY83" s="161">
        <f>66+9+1</f>
        <v>76</v>
      </c>
      <c r="AZ83" s="162"/>
      <c r="BA83" s="101"/>
      <c r="BB83" s="102"/>
      <c r="BC83" s="101"/>
      <c r="BD83" s="102"/>
      <c r="BE83" s="101"/>
      <c r="BF83" s="102"/>
      <c r="BG83" s="101"/>
      <c r="BH83" s="102"/>
      <c r="BI83" s="101"/>
      <c r="BJ83" s="102"/>
      <c r="BK83" s="101"/>
      <c r="BL83" s="102"/>
      <c r="BM83" s="101"/>
      <c r="BN83" s="102"/>
      <c r="BO83" s="101"/>
      <c r="BP83" s="102"/>
      <c r="BQ83" s="133">
        <f t="shared" si="34"/>
        <v>230</v>
      </c>
      <c r="BR83" s="134"/>
    </row>
    <row r="84" spans="1:70" s="4" customFormat="1" ht="15.75" x14ac:dyDescent="0.25">
      <c r="A84" s="33" t="s">
        <v>90</v>
      </c>
      <c r="B84" s="34" t="s">
        <v>79</v>
      </c>
      <c r="C84" s="101"/>
      <c r="D84" s="102"/>
      <c r="E84" s="101"/>
      <c r="F84" s="102"/>
      <c r="G84" s="101">
        <f>27+4</f>
        <v>31</v>
      </c>
      <c r="H84" s="102"/>
      <c r="I84" s="101">
        <v>11</v>
      </c>
      <c r="J84" s="102"/>
      <c r="K84" s="101">
        <v>11</v>
      </c>
      <c r="L84" s="102"/>
      <c r="M84" s="101">
        <v>24</v>
      </c>
      <c r="N84" s="102"/>
      <c r="O84" s="101">
        <v>13</v>
      </c>
      <c r="P84" s="102"/>
      <c r="Q84" s="157"/>
      <c r="R84" s="158"/>
      <c r="S84" s="101"/>
      <c r="T84" s="102"/>
      <c r="U84" s="101">
        <f>26+8+1</f>
        <v>35</v>
      </c>
      <c r="V84" s="102"/>
      <c r="W84" s="101"/>
      <c r="X84" s="102"/>
      <c r="Y84" s="101"/>
      <c r="Z84" s="102"/>
      <c r="AA84" s="101"/>
      <c r="AB84" s="102"/>
      <c r="AC84" s="101"/>
      <c r="AD84" s="102"/>
      <c r="AE84" s="101"/>
      <c r="AF84" s="102"/>
      <c r="AG84" s="101"/>
      <c r="AH84" s="102"/>
      <c r="AI84" s="101"/>
      <c r="AJ84" s="102"/>
      <c r="AK84" s="101"/>
      <c r="AL84" s="102"/>
      <c r="AM84" s="101"/>
      <c r="AN84" s="102"/>
      <c r="AO84" s="101"/>
      <c r="AP84" s="102"/>
      <c r="AQ84" s="101"/>
      <c r="AR84" s="102"/>
      <c r="AS84" s="101"/>
      <c r="AT84" s="102"/>
      <c r="AU84" s="101"/>
      <c r="AV84" s="102"/>
      <c r="AW84" s="101"/>
      <c r="AX84" s="102"/>
      <c r="AY84" s="101"/>
      <c r="AZ84" s="102"/>
      <c r="BA84" s="101">
        <f>5+5</f>
        <v>10</v>
      </c>
      <c r="BB84" s="102"/>
      <c r="BC84" s="101">
        <v>10</v>
      </c>
      <c r="BD84" s="102"/>
      <c r="BE84" s="101"/>
      <c r="BF84" s="102"/>
      <c r="BG84" s="101"/>
      <c r="BH84" s="102"/>
      <c r="BI84" s="101"/>
      <c r="BJ84" s="102"/>
      <c r="BK84" s="101"/>
      <c r="BL84" s="102"/>
      <c r="BM84" s="101"/>
      <c r="BN84" s="102"/>
      <c r="BO84" s="163">
        <f>10+1+2</f>
        <v>13</v>
      </c>
      <c r="BP84" s="164"/>
      <c r="BQ84" s="133">
        <f>SUM(C84,E84,G84,I84,K84,M84,O84,Q84,S84,U84,W84,Y84,AA84,AC84,AE84,AG84,AI84,AK84,AM84,AO84,AQ84,AS84,AU84,AW84,AY84,BA84,BC84,BE84,BG84,BI84,BK84,BM84,BO84)</f>
        <v>158</v>
      </c>
      <c r="BR84" s="134"/>
    </row>
    <row r="85" spans="1:70" s="4" customFormat="1" ht="15.75" x14ac:dyDescent="0.25">
      <c r="A85" s="33"/>
      <c r="B85" s="34" t="s">
        <v>80</v>
      </c>
      <c r="C85" s="101"/>
      <c r="D85" s="102"/>
      <c r="E85" s="101"/>
      <c r="F85" s="102"/>
      <c r="G85" s="101"/>
      <c r="H85" s="102"/>
      <c r="I85" s="101">
        <f>9+2</f>
        <v>11</v>
      </c>
      <c r="J85" s="102"/>
      <c r="K85" s="101"/>
      <c r="L85" s="102"/>
      <c r="M85" s="101">
        <f>2+3+1+1+3+1</f>
        <v>11</v>
      </c>
      <c r="N85" s="102"/>
      <c r="O85" s="101"/>
      <c r="P85" s="102"/>
      <c r="Q85" s="157"/>
      <c r="R85" s="158"/>
      <c r="S85" s="101"/>
      <c r="T85" s="102"/>
      <c r="U85" s="101"/>
      <c r="V85" s="102"/>
      <c r="W85" s="101"/>
      <c r="X85" s="102"/>
      <c r="Y85" s="101"/>
      <c r="Z85" s="102"/>
      <c r="AA85" s="101"/>
      <c r="AB85" s="102"/>
      <c r="AC85" s="101"/>
      <c r="AD85" s="102"/>
      <c r="AE85" s="101"/>
      <c r="AF85" s="102"/>
      <c r="AG85" s="101"/>
      <c r="AH85" s="102"/>
      <c r="AI85" s="101"/>
      <c r="AJ85" s="102"/>
      <c r="AK85" s="101"/>
      <c r="AL85" s="102"/>
      <c r="AM85" s="101"/>
      <c r="AN85" s="102"/>
      <c r="AO85" s="101"/>
      <c r="AP85" s="102"/>
      <c r="AQ85" s="161">
        <f>4+6+1+1+2+2+1</f>
        <v>17</v>
      </c>
      <c r="AR85" s="162"/>
      <c r="AS85" s="101"/>
      <c r="AT85" s="102"/>
      <c r="AU85" s="101"/>
      <c r="AV85" s="102"/>
      <c r="AW85" s="101"/>
      <c r="AX85" s="102"/>
      <c r="AY85" s="101"/>
      <c r="AZ85" s="102"/>
      <c r="BA85" s="101"/>
      <c r="BB85" s="102"/>
      <c r="BC85" s="101"/>
      <c r="BD85" s="102"/>
      <c r="BE85" s="101"/>
      <c r="BF85" s="102"/>
      <c r="BG85" s="101"/>
      <c r="BH85" s="102"/>
      <c r="BI85" s="101"/>
      <c r="BJ85" s="102"/>
      <c r="BK85" s="101"/>
      <c r="BL85" s="102"/>
      <c r="BM85" s="101"/>
      <c r="BN85" s="102"/>
      <c r="BO85" s="101"/>
      <c r="BP85" s="102"/>
      <c r="BQ85" s="133">
        <f>SUM(C85,E85,G85,I85,K85,M85,O85,Q85,S85,U85,W85,Y85,AA85,AC85,AE85,AG85,AI85,AK85,AM85,AO85,AQ85,AS85,AU85,AW85,AY85,BA85,BC85,BE85,BG85,BI85,BK85,BM85,BO85)</f>
        <v>39</v>
      </c>
      <c r="BR85" s="134"/>
    </row>
    <row r="86" spans="1:70" s="4" customFormat="1" x14ac:dyDescent="0.25">
      <c r="A86" s="33"/>
      <c r="B86" s="34" t="s">
        <v>81</v>
      </c>
      <c r="C86" s="101"/>
      <c r="D86" s="102"/>
      <c r="E86" s="101"/>
      <c r="F86" s="102"/>
      <c r="G86" s="101"/>
      <c r="H86" s="102"/>
      <c r="I86" s="101"/>
      <c r="J86" s="102"/>
      <c r="K86" s="101"/>
      <c r="L86" s="102"/>
      <c r="M86" s="101">
        <f>3+3+1+1+3+2</f>
        <v>13</v>
      </c>
      <c r="N86" s="102"/>
      <c r="O86" s="101"/>
      <c r="P86" s="102"/>
      <c r="Q86" s="157"/>
      <c r="R86" s="158"/>
      <c r="S86" s="101"/>
      <c r="T86" s="102"/>
      <c r="U86" s="101"/>
      <c r="V86" s="102"/>
      <c r="W86" s="101"/>
      <c r="X86" s="102"/>
      <c r="Y86" s="101"/>
      <c r="Z86" s="102"/>
      <c r="AA86" s="101"/>
      <c r="AB86" s="102"/>
      <c r="AC86" s="101"/>
      <c r="AD86" s="102"/>
      <c r="AE86" s="101"/>
      <c r="AF86" s="102"/>
      <c r="AG86" s="101"/>
      <c r="AH86" s="102"/>
      <c r="AI86" s="101"/>
      <c r="AJ86" s="102"/>
      <c r="AK86" s="101"/>
      <c r="AL86" s="102"/>
      <c r="AM86" s="101"/>
      <c r="AN86" s="102"/>
      <c r="AO86" s="101"/>
      <c r="AP86" s="102"/>
      <c r="AQ86" s="101"/>
      <c r="AR86" s="102"/>
      <c r="AS86" s="101"/>
      <c r="AT86" s="102"/>
      <c r="AU86" s="101"/>
      <c r="AV86" s="102"/>
      <c r="AW86" s="101"/>
      <c r="AX86" s="102"/>
      <c r="AY86" s="101"/>
      <c r="AZ86" s="102"/>
      <c r="BA86" s="101"/>
      <c r="BB86" s="102"/>
      <c r="BC86" s="101">
        <f>2+4+1+1+1+1</f>
        <v>10</v>
      </c>
      <c r="BD86" s="102"/>
      <c r="BE86" s="101"/>
      <c r="BF86" s="102"/>
      <c r="BG86" s="101"/>
      <c r="BH86" s="102"/>
      <c r="BI86" s="101"/>
      <c r="BJ86" s="102"/>
      <c r="BK86" s="101"/>
      <c r="BL86" s="102"/>
      <c r="BM86" s="101"/>
      <c r="BN86" s="102"/>
      <c r="BO86" s="101"/>
      <c r="BP86" s="102"/>
      <c r="BQ86" s="133">
        <f t="shared" si="34"/>
        <v>23</v>
      </c>
      <c r="BR86" s="134"/>
    </row>
    <row r="87" spans="1:70" s="4" customFormat="1" x14ac:dyDescent="0.25">
      <c r="A87" s="44"/>
      <c r="B87" s="36" t="s">
        <v>91</v>
      </c>
      <c r="C87" s="101"/>
      <c r="D87" s="102"/>
      <c r="E87" s="101"/>
      <c r="F87" s="102"/>
      <c r="G87" s="101"/>
      <c r="H87" s="102"/>
      <c r="I87" s="101"/>
      <c r="J87" s="102"/>
      <c r="K87" s="101"/>
      <c r="L87" s="102"/>
      <c r="M87" s="101"/>
      <c r="N87" s="102"/>
      <c r="O87" s="101"/>
      <c r="P87" s="102"/>
      <c r="Q87" s="157"/>
      <c r="R87" s="158"/>
      <c r="S87" s="101"/>
      <c r="T87" s="102"/>
      <c r="U87" s="101"/>
      <c r="V87" s="102"/>
      <c r="W87" s="101"/>
      <c r="X87" s="102"/>
      <c r="Y87" s="101"/>
      <c r="Z87" s="102"/>
      <c r="AA87" s="101"/>
      <c r="AB87" s="102"/>
      <c r="AC87" s="101"/>
      <c r="AD87" s="102"/>
      <c r="AE87" s="101"/>
      <c r="AF87" s="102"/>
      <c r="AG87" s="101"/>
      <c r="AH87" s="102"/>
      <c r="AI87" s="101"/>
      <c r="AJ87" s="102"/>
      <c r="AK87" s="101"/>
      <c r="AL87" s="102"/>
      <c r="AM87" s="101"/>
      <c r="AN87" s="102"/>
      <c r="AO87" s="101"/>
      <c r="AP87" s="102"/>
      <c r="AQ87" s="101"/>
      <c r="AR87" s="102"/>
      <c r="AS87" s="101"/>
      <c r="AT87" s="102"/>
      <c r="AU87" s="101"/>
      <c r="AV87" s="102"/>
      <c r="AW87" s="101"/>
      <c r="AX87" s="102"/>
      <c r="AY87" s="101"/>
      <c r="AZ87" s="102"/>
      <c r="BA87" s="101"/>
      <c r="BB87" s="102"/>
      <c r="BC87" s="101"/>
      <c r="BD87" s="102"/>
      <c r="BE87" s="101"/>
      <c r="BF87" s="102"/>
      <c r="BG87" s="101"/>
      <c r="BH87" s="102"/>
      <c r="BI87" s="101"/>
      <c r="BJ87" s="102"/>
      <c r="BK87" s="101"/>
      <c r="BL87" s="102"/>
      <c r="BM87" s="101"/>
      <c r="BN87" s="102"/>
      <c r="BO87" s="101"/>
      <c r="BP87" s="102"/>
      <c r="BQ87" s="131">
        <f>SUM(C87,E87,G87,I87,K87,M87,O87,Q87,S87,U87,W87,Y87,AA87,AC87,AE87,AG87,AI87,AK87,AM87,AO87,AQ87,AS87,AU87,AW87,AY87,BA87,BC87,BE87,BG87,BI87,BK87,BM87,BO87)</f>
        <v>0</v>
      </c>
      <c r="BR87" s="132"/>
    </row>
    <row r="88" spans="1:70" s="4" customFormat="1" x14ac:dyDescent="0.25">
      <c r="A88" s="125" t="s">
        <v>0</v>
      </c>
      <c r="B88" s="125"/>
      <c r="C88" s="135">
        <f>SUM(C73:C87)</f>
        <v>14</v>
      </c>
      <c r="D88" s="136"/>
      <c r="E88" s="135">
        <f>SUM(E73:E87)</f>
        <v>100</v>
      </c>
      <c r="F88" s="136"/>
      <c r="G88" s="135">
        <f>SUM(G73:G87)</f>
        <v>2200</v>
      </c>
      <c r="H88" s="136"/>
      <c r="I88" s="135">
        <f>SUM(I73:I87)</f>
        <v>1299</v>
      </c>
      <c r="J88" s="136"/>
      <c r="K88" s="135">
        <f>SUM(K73:K87)</f>
        <v>178</v>
      </c>
      <c r="L88" s="136"/>
      <c r="M88" s="135">
        <f>SUM(M73:M87)</f>
        <v>1936</v>
      </c>
      <c r="N88" s="136"/>
      <c r="O88" s="135">
        <f>SUM(O73:O87)</f>
        <v>86</v>
      </c>
      <c r="P88" s="136"/>
      <c r="Q88" s="135">
        <f>SUM(Q73:Q87)</f>
        <v>0</v>
      </c>
      <c r="R88" s="136"/>
      <c r="S88" s="135">
        <f>SUM(S73:S87)</f>
        <v>145</v>
      </c>
      <c r="T88" s="136"/>
      <c r="U88" s="135">
        <f>SUM(U73:U87)</f>
        <v>225</v>
      </c>
      <c r="V88" s="136"/>
      <c r="W88" s="135">
        <f>SUM(W73:W87)</f>
        <v>263</v>
      </c>
      <c r="X88" s="136"/>
      <c r="Y88" s="135">
        <f>SUM(Y73:Y87)</f>
        <v>209</v>
      </c>
      <c r="Z88" s="136"/>
      <c r="AA88" s="135">
        <f>SUM(AA73:AA87)</f>
        <v>685</v>
      </c>
      <c r="AB88" s="136"/>
      <c r="AC88" s="135">
        <f>SUM(AC73:AC87)</f>
        <v>1952</v>
      </c>
      <c r="AD88" s="136"/>
      <c r="AE88" s="135">
        <f>SUM(AE73:AE87)</f>
        <v>1061</v>
      </c>
      <c r="AF88" s="136"/>
      <c r="AG88" s="135">
        <f>SUM(AG73:AG87)</f>
        <v>354</v>
      </c>
      <c r="AH88" s="136"/>
      <c r="AI88" s="135">
        <f>SUM(AI73:AI87)</f>
        <v>272</v>
      </c>
      <c r="AJ88" s="136"/>
      <c r="AK88" s="135">
        <f>SUM(AK73:AK87)</f>
        <v>87</v>
      </c>
      <c r="AL88" s="136"/>
      <c r="AM88" s="135">
        <f>SUM(AM73:AM87)</f>
        <v>667</v>
      </c>
      <c r="AN88" s="136"/>
      <c r="AO88" s="135">
        <f>SUM(AO73:AO87)</f>
        <v>95</v>
      </c>
      <c r="AP88" s="136"/>
      <c r="AQ88" s="135">
        <f>SUM(AQ73:AQ87)</f>
        <v>810</v>
      </c>
      <c r="AR88" s="136"/>
      <c r="AS88" s="135">
        <f>SUM(AS73:AS87)</f>
        <v>159</v>
      </c>
      <c r="AT88" s="136"/>
      <c r="AU88" s="135">
        <f>SUM(AU73:AU87)</f>
        <v>225</v>
      </c>
      <c r="AV88" s="136"/>
      <c r="AW88" s="135">
        <f>SUM(AW73:AW87)</f>
        <v>245</v>
      </c>
      <c r="AX88" s="136"/>
      <c r="AY88" s="135">
        <f>SUM(AY73:AY87)</f>
        <v>325</v>
      </c>
      <c r="AZ88" s="136"/>
      <c r="BA88" s="135">
        <f>SUM(BA73:BA87)</f>
        <v>738</v>
      </c>
      <c r="BB88" s="136"/>
      <c r="BC88" s="135">
        <f>SUM(BC73:BC87)</f>
        <v>272</v>
      </c>
      <c r="BD88" s="136"/>
      <c r="BE88" s="135">
        <f>SUM(BE73:BE87)</f>
        <v>21</v>
      </c>
      <c r="BF88" s="136"/>
      <c r="BG88" s="135">
        <f>SUM(BG73:BG87)</f>
        <v>1301</v>
      </c>
      <c r="BH88" s="136"/>
      <c r="BI88" s="135">
        <f>SUM(BI73:BI87)</f>
        <v>0</v>
      </c>
      <c r="BJ88" s="136"/>
      <c r="BK88" s="135">
        <f>SUM(BK73:BK87)</f>
        <v>0</v>
      </c>
      <c r="BL88" s="136"/>
      <c r="BM88" s="135">
        <f>SUM(BM73:BM87)</f>
        <v>50</v>
      </c>
      <c r="BN88" s="136"/>
      <c r="BO88" s="135">
        <f>SUM(BO73:BO87)</f>
        <v>1056</v>
      </c>
      <c r="BP88" s="136"/>
      <c r="BQ88" s="137">
        <f>SUM(BQ73:BQ87)</f>
        <v>17030</v>
      </c>
      <c r="BR88" s="138"/>
    </row>
    <row r="89" spans="1:70" s="4" customFormat="1" x14ac:dyDescent="0.25">
      <c r="A89" s="23"/>
      <c r="B89" s="2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/>
      <c r="BF89"/>
      <c r="BG89"/>
      <c r="BH89"/>
      <c r="BI89"/>
      <c r="BJ89"/>
      <c r="BK89"/>
      <c r="BL89"/>
      <c r="BM89"/>
      <c r="BN89"/>
      <c r="BO89"/>
      <c r="BP89"/>
      <c r="BQ89" s="2"/>
      <c r="BR89"/>
    </row>
    <row r="90" spans="1:70" s="4" customFormat="1" ht="15" customHeight="1" x14ac:dyDescent="0.25">
      <c r="A90" s="118" t="s">
        <v>82</v>
      </c>
      <c r="B90" s="118"/>
      <c r="C90" s="118"/>
      <c r="D90" s="118"/>
      <c r="E90" s="118"/>
      <c r="F90" s="118"/>
      <c r="G90" s="118"/>
      <c r="H90" s="118"/>
      <c r="I90" s="118"/>
      <c r="J90" s="118"/>
      <c r="K90" s="118"/>
      <c r="L90" s="118"/>
      <c r="M90" s="118"/>
      <c r="N90" s="118"/>
      <c r="O90" s="118"/>
      <c r="P90" s="118"/>
      <c r="Q90" s="118"/>
      <c r="R90" s="118"/>
      <c r="S90" s="118"/>
    </row>
    <row r="91" spans="1:70" s="4" customFormat="1" ht="15.75" thickBot="1" x14ac:dyDescent="0.3">
      <c r="A91" s="94" t="s">
        <v>83</v>
      </c>
      <c r="B91" s="94"/>
      <c r="C91" s="94"/>
    </row>
    <row r="92" spans="1:70" s="4" customFormat="1" ht="15.75" thickBot="1" x14ac:dyDescent="0.3">
      <c r="A92" s="29"/>
      <c r="B92" s="51" t="s">
        <v>74</v>
      </c>
      <c r="C92" s="119" t="s">
        <v>5</v>
      </c>
      <c r="D92" s="120"/>
      <c r="E92" s="119" t="s">
        <v>6</v>
      </c>
      <c r="F92" s="120"/>
      <c r="G92" s="119" t="s">
        <v>7</v>
      </c>
      <c r="H92" s="121"/>
      <c r="I92" s="115" t="s">
        <v>8</v>
      </c>
      <c r="J92" s="116"/>
      <c r="K92" s="115" t="s">
        <v>9</v>
      </c>
      <c r="L92" s="116"/>
      <c r="M92" s="115" t="s">
        <v>10</v>
      </c>
      <c r="N92" s="116"/>
      <c r="O92" s="115" t="s">
        <v>11</v>
      </c>
      <c r="P92" s="116"/>
      <c r="Q92" s="122" t="s">
        <v>12</v>
      </c>
      <c r="R92" s="123"/>
      <c r="S92" s="115" t="s">
        <v>13</v>
      </c>
      <c r="T92" s="117"/>
      <c r="U92" s="115" t="s">
        <v>14</v>
      </c>
      <c r="V92" s="116"/>
      <c r="W92" s="115" t="s">
        <v>15</v>
      </c>
      <c r="X92" s="116"/>
      <c r="Y92" s="115" t="s">
        <v>16</v>
      </c>
      <c r="Z92" s="116"/>
      <c r="AA92" s="115" t="s">
        <v>17</v>
      </c>
      <c r="AB92" s="117"/>
      <c r="AC92" s="115" t="s">
        <v>18</v>
      </c>
      <c r="AD92" s="116"/>
      <c r="AE92" s="115" t="s">
        <v>19</v>
      </c>
      <c r="AF92" s="116"/>
      <c r="AG92" s="115" t="s">
        <v>20</v>
      </c>
      <c r="AH92" s="116"/>
      <c r="AI92" s="115" t="s">
        <v>21</v>
      </c>
      <c r="AJ92" s="117"/>
      <c r="AK92" s="115" t="s">
        <v>22</v>
      </c>
      <c r="AL92" s="116"/>
      <c r="AM92" s="115" t="s">
        <v>23</v>
      </c>
      <c r="AN92" s="116"/>
      <c r="AO92" s="115" t="s">
        <v>24</v>
      </c>
      <c r="AP92" s="116"/>
      <c r="AQ92" s="115" t="s">
        <v>25</v>
      </c>
      <c r="AR92" s="116"/>
      <c r="AS92" s="115" t="s">
        <v>26</v>
      </c>
      <c r="AT92" s="116"/>
      <c r="AU92" s="115" t="s">
        <v>27</v>
      </c>
      <c r="AV92" s="117"/>
      <c r="AW92" s="115" t="s">
        <v>28</v>
      </c>
      <c r="AX92" s="116"/>
      <c r="AY92" s="115" t="s">
        <v>29</v>
      </c>
      <c r="AZ92" s="116"/>
      <c r="BA92" s="115" t="s">
        <v>30</v>
      </c>
      <c r="BB92" s="116"/>
      <c r="BC92" s="115" t="s">
        <v>31</v>
      </c>
      <c r="BD92" s="116"/>
      <c r="BE92" s="115" t="s">
        <v>32</v>
      </c>
      <c r="BF92" s="117"/>
      <c r="BG92" s="115" t="s">
        <v>33</v>
      </c>
      <c r="BH92" s="116"/>
      <c r="BI92" s="122" t="s">
        <v>34</v>
      </c>
      <c r="BJ92" s="130"/>
      <c r="BK92" s="122" t="s">
        <v>86</v>
      </c>
      <c r="BL92" s="130"/>
      <c r="BM92" s="115" t="s">
        <v>35</v>
      </c>
      <c r="BN92" s="116"/>
      <c r="BO92" s="126" t="s">
        <v>36</v>
      </c>
      <c r="BP92" s="127"/>
      <c r="BQ92" s="126" t="s">
        <v>0</v>
      </c>
      <c r="BR92" s="127"/>
    </row>
    <row r="93" spans="1:70" s="4" customFormat="1" ht="15.75" thickBot="1" x14ac:dyDescent="0.3">
      <c r="A93" s="31" t="s">
        <v>39</v>
      </c>
      <c r="B93" s="52" t="s">
        <v>40</v>
      </c>
      <c r="C93" s="53" t="s">
        <v>66</v>
      </c>
      <c r="D93" s="54" t="s">
        <v>84</v>
      </c>
      <c r="E93" s="53" t="s">
        <v>66</v>
      </c>
      <c r="F93" s="54" t="s">
        <v>84</v>
      </c>
      <c r="G93" s="53" t="s">
        <v>66</v>
      </c>
      <c r="H93" s="55" t="s">
        <v>84</v>
      </c>
      <c r="I93" s="53" t="s">
        <v>66</v>
      </c>
      <c r="J93" s="54" t="s">
        <v>84</v>
      </c>
      <c r="K93" s="53" t="s">
        <v>66</v>
      </c>
      <c r="L93" s="54" t="s">
        <v>84</v>
      </c>
      <c r="M93" s="53" t="s">
        <v>66</v>
      </c>
      <c r="N93" s="54" t="s">
        <v>84</v>
      </c>
      <c r="O93" s="53" t="s">
        <v>66</v>
      </c>
      <c r="P93" s="55" t="s">
        <v>84</v>
      </c>
      <c r="Q93" s="53" t="s">
        <v>2</v>
      </c>
      <c r="R93" s="54" t="s">
        <v>67</v>
      </c>
      <c r="S93" s="56" t="s">
        <v>66</v>
      </c>
      <c r="T93" s="55" t="s">
        <v>84</v>
      </c>
      <c r="U93" s="53" t="s">
        <v>66</v>
      </c>
      <c r="V93" s="54" t="s">
        <v>84</v>
      </c>
      <c r="W93" s="53" t="s">
        <v>66</v>
      </c>
      <c r="X93" s="54" t="s">
        <v>84</v>
      </c>
      <c r="Y93" s="53" t="s">
        <v>66</v>
      </c>
      <c r="Z93" s="54" t="s">
        <v>84</v>
      </c>
      <c r="AA93" s="53" t="s">
        <v>66</v>
      </c>
      <c r="AB93" s="55" t="s">
        <v>84</v>
      </c>
      <c r="AC93" s="53" t="s">
        <v>66</v>
      </c>
      <c r="AD93" s="54" t="s">
        <v>84</v>
      </c>
      <c r="AE93" s="53" t="s">
        <v>66</v>
      </c>
      <c r="AF93" s="54" t="s">
        <v>84</v>
      </c>
      <c r="AG93" s="53" t="s">
        <v>66</v>
      </c>
      <c r="AH93" s="54" t="s">
        <v>84</v>
      </c>
      <c r="AI93" s="53" t="s">
        <v>66</v>
      </c>
      <c r="AJ93" s="55" t="s">
        <v>84</v>
      </c>
      <c r="AK93" s="53" t="s">
        <v>66</v>
      </c>
      <c r="AL93" s="54" t="s">
        <v>84</v>
      </c>
      <c r="AM93" s="53" t="s">
        <v>66</v>
      </c>
      <c r="AN93" s="54" t="s">
        <v>84</v>
      </c>
      <c r="AO93" s="53" t="s">
        <v>66</v>
      </c>
      <c r="AP93" s="54" t="s">
        <v>84</v>
      </c>
      <c r="AQ93" s="53" t="s">
        <v>66</v>
      </c>
      <c r="AR93" s="54" t="s">
        <v>84</v>
      </c>
      <c r="AS93" s="53" t="s">
        <v>66</v>
      </c>
      <c r="AT93" s="54" t="s">
        <v>84</v>
      </c>
      <c r="AU93" s="53" t="s">
        <v>66</v>
      </c>
      <c r="AV93" s="55" t="s">
        <v>84</v>
      </c>
      <c r="AW93" s="53" t="s">
        <v>66</v>
      </c>
      <c r="AX93" s="54" t="s">
        <v>84</v>
      </c>
      <c r="AY93" s="53" t="s">
        <v>66</v>
      </c>
      <c r="AZ93" s="54" t="s">
        <v>84</v>
      </c>
      <c r="BA93" s="53" t="s">
        <v>66</v>
      </c>
      <c r="BB93" s="54" t="s">
        <v>84</v>
      </c>
      <c r="BC93" s="53" t="s">
        <v>66</v>
      </c>
      <c r="BD93" s="54" t="s">
        <v>84</v>
      </c>
      <c r="BE93" s="53" t="s">
        <v>66</v>
      </c>
      <c r="BF93" s="55" t="s">
        <v>84</v>
      </c>
      <c r="BG93" s="53" t="s">
        <v>66</v>
      </c>
      <c r="BH93" s="54" t="s">
        <v>84</v>
      </c>
      <c r="BI93" s="53" t="s">
        <v>66</v>
      </c>
      <c r="BJ93" s="54" t="s">
        <v>84</v>
      </c>
      <c r="BK93" s="53" t="s">
        <v>66</v>
      </c>
      <c r="BL93" s="54" t="s">
        <v>84</v>
      </c>
      <c r="BM93" s="59" t="s">
        <v>66</v>
      </c>
      <c r="BN93" s="54" t="s">
        <v>84</v>
      </c>
      <c r="BO93" s="53" t="s">
        <v>66</v>
      </c>
      <c r="BP93" s="54" t="s">
        <v>84</v>
      </c>
      <c r="BQ93" s="57" t="s">
        <v>0</v>
      </c>
      <c r="BR93" s="54" t="s">
        <v>84</v>
      </c>
    </row>
    <row r="94" spans="1:70" s="4" customFormat="1" x14ac:dyDescent="0.25">
      <c r="A94" s="37" t="s">
        <v>87</v>
      </c>
      <c r="B94" s="38" t="s">
        <v>3</v>
      </c>
      <c r="C94" s="64"/>
      <c r="D94" s="61"/>
      <c r="E94" s="64"/>
      <c r="F94" s="61"/>
      <c r="G94" s="64"/>
      <c r="H94" s="63"/>
      <c r="I94" s="64"/>
      <c r="J94" s="61"/>
      <c r="K94" s="64"/>
      <c r="L94" s="61"/>
      <c r="M94" s="64"/>
      <c r="N94" s="61"/>
      <c r="O94" s="64"/>
      <c r="P94" s="61"/>
      <c r="Q94" s="64"/>
      <c r="R94" s="63"/>
      <c r="S94" s="64"/>
      <c r="T94" s="66"/>
      <c r="U94" s="64"/>
      <c r="V94" s="61"/>
      <c r="W94" s="64"/>
      <c r="X94" s="61"/>
      <c r="Y94" s="64"/>
      <c r="Z94" s="61"/>
      <c r="AA94" s="64"/>
      <c r="AB94" s="63"/>
      <c r="AC94" s="64"/>
      <c r="AD94" s="61"/>
      <c r="AE94" s="64"/>
      <c r="AF94" s="61" t="e">
        <f t="shared" ref="AF94:AF109" si="35">AE94/AE73</f>
        <v>#DIV/0!</v>
      </c>
      <c r="AG94" s="64"/>
      <c r="AH94" s="61"/>
      <c r="AI94" s="64"/>
      <c r="AJ94" s="67"/>
      <c r="AK94" s="64"/>
      <c r="AL94" s="62"/>
      <c r="AM94" s="64"/>
      <c r="AN94" s="61"/>
      <c r="AO94" s="64"/>
      <c r="AP94" s="61"/>
      <c r="AQ94" s="64"/>
      <c r="AR94" s="61"/>
      <c r="AS94" s="64"/>
      <c r="AT94" s="61"/>
      <c r="AU94" s="64"/>
      <c r="AV94" s="63"/>
      <c r="AW94" s="64"/>
      <c r="AX94" s="61"/>
      <c r="AY94" s="64"/>
      <c r="AZ94" s="61" t="e">
        <f t="shared" ref="AZ94:AZ109" si="36">AY94/AY73</f>
        <v>#DIV/0!</v>
      </c>
      <c r="BA94" s="64"/>
      <c r="BB94" s="61"/>
      <c r="BC94" s="64"/>
      <c r="BD94" s="61"/>
      <c r="BE94" s="64"/>
      <c r="BF94" s="63"/>
      <c r="BG94" s="64"/>
      <c r="BH94" s="61"/>
      <c r="BI94" s="64"/>
      <c r="BJ94" s="61"/>
      <c r="BK94" s="64"/>
      <c r="BL94" s="61"/>
      <c r="BM94" s="64"/>
      <c r="BN94" s="61"/>
      <c r="BO94" s="64"/>
      <c r="BP94" s="61"/>
      <c r="BQ94" s="64">
        <f>SUM(C94,E94,G94,I94,K94,M94,O94,Q94,S94,U94,W94,Y94,AA94,AC94,AE94,AG94,AI94,AK94,AM94,AO94,AQ94,AS94,AU94,AW94,AY94,BA94,BC94,BE94,BG94,BI94,BK94,BM94,BO94)</f>
        <v>0</v>
      </c>
      <c r="BR94" s="61">
        <v>0</v>
      </c>
    </row>
    <row r="95" spans="1:70" s="4" customFormat="1" x14ac:dyDescent="0.25">
      <c r="A95" s="33" t="s">
        <v>88</v>
      </c>
      <c r="B95" s="34" t="s">
        <v>41</v>
      </c>
      <c r="C95" s="64"/>
      <c r="D95" s="61"/>
      <c r="E95" s="64"/>
      <c r="F95" s="61"/>
      <c r="G95" s="64">
        <v>315000</v>
      </c>
      <c r="H95" s="63">
        <f t="shared" ref="H95:H109" si="37">G95/G74</f>
        <v>52500</v>
      </c>
      <c r="I95" s="64">
        <v>787500</v>
      </c>
      <c r="J95" s="61">
        <f t="shared" ref="J95:J109" si="38">I95/I74</f>
        <v>56250</v>
      </c>
      <c r="K95" s="64">
        <v>112500</v>
      </c>
      <c r="L95" s="61">
        <f t="shared" ref="L95:L109" si="39">K95/K74</f>
        <v>56250</v>
      </c>
      <c r="M95" s="64">
        <v>4218750</v>
      </c>
      <c r="N95" s="61">
        <f t="shared" ref="N95:N109" si="40">M95/M74</f>
        <v>56250</v>
      </c>
      <c r="O95" s="64"/>
      <c r="P95" s="61"/>
      <c r="Q95" s="64"/>
      <c r="R95" s="63"/>
      <c r="S95" s="64"/>
      <c r="T95" s="66"/>
      <c r="U95" s="64"/>
      <c r="V95" s="61"/>
      <c r="W95" s="64">
        <f>1035000+115000</f>
        <v>1150000</v>
      </c>
      <c r="X95" s="61">
        <f t="shared" ref="X95:X109" si="41">W95/W74</f>
        <v>57500</v>
      </c>
      <c r="Y95" s="64">
        <v>775000</v>
      </c>
      <c r="Z95" s="61">
        <f t="shared" ref="Z95:Z109" si="42">Y95/Y74</f>
        <v>55357.142857142855</v>
      </c>
      <c r="AA95" s="64"/>
      <c r="AB95" s="63"/>
      <c r="AC95" s="64">
        <f>33710000+9500+517500+375000</f>
        <v>34612000</v>
      </c>
      <c r="AD95" s="61">
        <f t="shared" ref="AD95:AD109" si="43">AC95/AC74</f>
        <v>56371.335504885996</v>
      </c>
      <c r="AE95" s="64">
        <v>2242500</v>
      </c>
      <c r="AF95" s="61">
        <f t="shared" si="35"/>
        <v>57500</v>
      </c>
      <c r="AG95" s="64">
        <f>3565000+157500</f>
        <v>3722500</v>
      </c>
      <c r="AH95" s="61">
        <f t="shared" ref="AH95:AH109" si="44">AG95/AG74</f>
        <v>57269.230769230766</v>
      </c>
      <c r="AI95" s="64"/>
      <c r="AJ95" s="67"/>
      <c r="AK95" s="64"/>
      <c r="AL95" s="62"/>
      <c r="AM95" s="64"/>
      <c r="AN95" s="61"/>
      <c r="AO95" s="64"/>
      <c r="AP95" s="61"/>
      <c r="AQ95" s="64">
        <f>402500+52500+402500</f>
        <v>857500</v>
      </c>
      <c r="AR95" s="61">
        <f t="shared" ref="AR95:AR109" si="45">AQ95/AQ74</f>
        <v>57166.666666666664</v>
      </c>
      <c r="AS95" s="64"/>
      <c r="AT95" s="61"/>
      <c r="AU95" s="64"/>
      <c r="AV95" s="63"/>
      <c r="AW95" s="64"/>
      <c r="AX95" s="61"/>
      <c r="AY95" s="64">
        <v>1452500</v>
      </c>
      <c r="AZ95" s="61">
        <f t="shared" si="36"/>
        <v>51875</v>
      </c>
      <c r="BA95" s="64">
        <v>6982500</v>
      </c>
      <c r="BB95" s="61">
        <f t="shared" ref="BB95:BB109" si="46">BA95/BA74</f>
        <v>52500</v>
      </c>
      <c r="BC95" s="64"/>
      <c r="BD95" s="61"/>
      <c r="BE95" s="64"/>
      <c r="BF95" s="63"/>
      <c r="BG95" s="64">
        <v>3818750</v>
      </c>
      <c r="BH95" s="61">
        <f t="shared" ref="BH95:BH109" si="47">BG95/BG74</f>
        <v>58750</v>
      </c>
      <c r="BI95" s="64"/>
      <c r="BJ95" s="61"/>
      <c r="BK95" s="64"/>
      <c r="BL95" s="61"/>
      <c r="BM95" s="64"/>
      <c r="BN95" s="61"/>
      <c r="BO95" s="64"/>
      <c r="BP95" s="61"/>
      <c r="BQ95" s="64">
        <f t="shared" ref="BQ95:BQ108" si="48">SUM(C95,E95,G95,I95,K95,M95,O95,Q95,S95,U95,W95,Y95,AA95,AC95,AE95,AG95,AI95,AK95,AM95,AO95,AQ95,AS95,AU95,AW95,AY95,BA95,BC95,BE95,BG95,BI95,BK95,BM95,BO95)</f>
        <v>61047000</v>
      </c>
      <c r="BR95" s="61">
        <f t="shared" ref="BR95:BR109" si="49">BQ95/BQ74</f>
        <v>56006.422018348625</v>
      </c>
    </row>
    <row r="96" spans="1:70" s="4" customFormat="1" x14ac:dyDescent="0.25">
      <c r="A96" s="33"/>
      <c r="B96" s="34" t="s">
        <v>75</v>
      </c>
      <c r="C96" s="64"/>
      <c r="D96" s="61"/>
      <c r="E96" s="64"/>
      <c r="F96" s="61"/>
      <c r="G96" s="64">
        <v>38432500</v>
      </c>
      <c r="H96" s="63">
        <f t="shared" si="37"/>
        <v>62695.758564437194</v>
      </c>
      <c r="I96" s="64">
        <v>24000000</v>
      </c>
      <c r="J96" s="61">
        <f t="shared" si="38"/>
        <v>62500</v>
      </c>
      <c r="K96" s="64">
        <v>2037500</v>
      </c>
      <c r="L96" s="61">
        <f t="shared" si="39"/>
        <v>61742.42424242424</v>
      </c>
      <c r="M96" s="64">
        <v>26877500</v>
      </c>
      <c r="N96" s="61">
        <f t="shared" si="40"/>
        <v>60946.712018140592</v>
      </c>
      <c r="O96" s="64"/>
      <c r="P96" s="61"/>
      <c r="Q96" s="64"/>
      <c r="R96" s="63"/>
      <c r="S96" s="64"/>
      <c r="T96" s="66"/>
      <c r="U96" s="64"/>
      <c r="V96" s="61"/>
      <c r="W96" s="64"/>
      <c r="X96" s="61"/>
      <c r="Y96" s="64"/>
      <c r="Z96" s="61"/>
      <c r="AA96" s="64">
        <v>937500</v>
      </c>
      <c r="AB96" s="63">
        <f t="shared" ref="AB96:AB109" si="50">AA96/AA75</f>
        <v>62500</v>
      </c>
      <c r="AC96" s="64"/>
      <c r="AD96" s="61"/>
      <c r="AE96" s="64"/>
      <c r="AF96" s="61"/>
      <c r="AG96" s="64"/>
      <c r="AH96" s="61"/>
      <c r="AI96" s="64"/>
      <c r="AJ96" s="67"/>
      <c r="AK96" s="64"/>
      <c r="AL96" s="62"/>
      <c r="AM96" s="64"/>
      <c r="AN96" s="61"/>
      <c r="AO96" s="64"/>
      <c r="AP96" s="61"/>
      <c r="AQ96" s="64">
        <f>4062500+125000+187500</f>
        <v>4375000</v>
      </c>
      <c r="AR96" s="61">
        <f t="shared" si="45"/>
        <v>62500</v>
      </c>
      <c r="AS96" s="64"/>
      <c r="AT96" s="61"/>
      <c r="AU96" s="64"/>
      <c r="AV96" s="63"/>
      <c r="AW96" s="64"/>
      <c r="AX96" s="61"/>
      <c r="AY96" s="64"/>
      <c r="AZ96" s="61"/>
      <c r="BA96" s="64"/>
      <c r="BB96" s="61"/>
      <c r="BC96" s="64">
        <v>877500</v>
      </c>
      <c r="BD96" s="61">
        <f t="shared" ref="BD96:BD109" si="51">BC96/BC75</f>
        <v>67500</v>
      </c>
      <c r="BE96" s="64"/>
      <c r="BF96" s="63"/>
      <c r="BG96" s="64">
        <f>11637500+582500</f>
        <v>12220000</v>
      </c>
      <c r="BH96" s="61">
        <f t="shared" si="47"/>
        <v>65698.924731182793</v>
      </c>
      <c r="BI96" s="64"/>
      <c r="BJ96" s="61"/>
      <c r="BK96" s="64"/>
      <c r="BL96" s="61"/>
      <c r="BM96" s="64"/>
      <c r="BN96" s="61"/>
      <c r="BO96" s="64">
        <v>2130000</v>
      </c>
      <c r="BP96" s="61">
        <f t="shared" ref="BP96:BP109" si="52">BO96/BO75</f>
        <v>64545.454545454544</v>
      </c>
      <c r="BQ96" s="64">
        <f t="shared" si="48"/>
        <v>111887500</v>
      </c>
      <c r="BR96" s="61">
        <f t="shared" si="49"/>
        <v>62576.901565995526</v>
      </c>
    </row>
    <row r="97" spans="1:70" s="4" customFormat="1" x14ac:dyDescent="0.25">
      <c r="A97" s="33"/>
      <c r="B97" s="34" t="s">
        <v>42</v>
      </c>
      <c r="C97" s="64"/>
      <c r="D97" s="61"/>
      <c r="E97" s="64">
        <v>4412500</v>
      </c>
      <c r="F97" s="61">
        <f t="shared" ref="F97:F109" si="53">E97/E76</f>
        <v>72336.065573770495</v>
      </c>
      <c r="G97" s="64">
        <v>47462500</v>
      </c>
      <c r="H97" s="63">
        <f t="shared" si="37"/>
        <v>75337.301587301583</v>
      </c>
      <c r="I97" s="64">
        <v>2775000</v>
      </c>
      <c r="J97" s="61">
        <f t="shared" si="38"/>
        <v>75000</v>
      </c>
      <c r="K97" s="64"/>
      <c r="L97" s="61"/>
      <c r="M97" s="64">
        <v>13095000</v>
      </c>
      <c r="N97" s="61">
        <f t="shared" si="40"/>
        <v>74828.571428571435</v>
      </c>
      <c r="O97" s="64"/>
      <c r="P97" s="61"/>
      <c r="Q97" s="64"/>
      <c r="R97" s="63"/>
      <c r="S97" s="64"/>
      <c r="T97" s="66"/>
      <c r="U97" s="64"/>
      <c r="V97" s="61"/>
      <c r="W97" s="64">
        <f>5670000+362500</f>
        <v>6032500</v>
      </c>
      <c r="X97" s="61">
        <f t="shared" si="41"/>
        <v>70145.348837209298</v>
      </c>
      <c r="Y97" s="64">
        <f>1185000+520000</f>
        <v>1705000</v>
      </c>
      <c r="Z97" s="61">
        <f t="shared" si="42"/>
        <v>77500</v>
      </c>
      <c r="AA97" s="64">
        <v>10655000</v>
      </c>
      <c r="AB97" s="63">
        <f t="shared" si="50"/>
        <v>73993.055555555562</v>
      </c>
      <c r="AC97" s="64">
        <v>59930000</v>
      </c>
      <c r="AD97" s="61">
        <f t="shared" si="43"/>
        <v>72996.345919610234</v>
      </c>
      <c r="AE97" s="64">
        <v>28005000</v>
      </c>
      <c r="AF97" s="61">
        <f t="shared" si="35"/>
        <v>70187.969924812031</v>
      </c>
      <c r="AG97" s="64">
        <v>7920000</v>
      </c>
      <c r="AH97" s="61">
        <f t="shared" si="44"/>
        <v>73333.333333333328</v>
      </c>
      <c r="AI97" s="64">
        <v>10620000</v>
      </c>
      <c r="AJ97" s="67">
        <f t="shared" ref="AJ97:AJ109" si="54">AI97/AI76</f>
        <v>71275.167785234895</v>
      </c>
      <c r="AK97" s="64">
        <f>1610000+165000</f>
        <v>1775000</v>
      </c>
      <c r="AL97" s="62">
        <f t="shared" ref="AL97:AL109" si="55">AK97/AK76</f>
        <v>71000</v>
      </c>
      <c r="AM97" s="64">
        <v>15455000</v>
      </c>
      <c r="AN97" s="61">
        <f t="shared" ref="AN97:AN109" si="56">AM97/AM76</f>
        <v>75024.271844660194</v>
      </c>
      <c r="AO97" s="64">
        <v>1125000</v>
      </c>
      <c r="AP97" s="61">
        <f t="shared" ref="AP97:AP109" si="57">AO97/AO76</f>
        <v>75000</v>
      </c>
      <c r="AQ97" s="64">
        <v>975000</v>
      </c>
      <c r="AR97" s="61">
        <f t="shared" si="45"/>
        <v>75000</v>
      </c>
      <c r="AS97" s="64">
        <v>1575000</v>
      </c>
      <c r="AT97" s="61">
        <f t="shared" ref="AT97:AT109" si="58">AS97/AS76</f>
        <v>75000</v>
      </c>
      <c r="AU97" s="64">
        <f>5725000+560000</f>
        <v>6285000</v>
      </c>
      <c r="AV97" s="63">
        <f t="shared" ref="AV97:AV109" si="59">AU97/AU76</f>
        <v>74821.428571428565</v>
      </c>
      <c r="AW97" s="64">
        <f>7575000+480000</f>
        <v>8055000</v>
      </c>
      <c r="AX97" s="61">
        <f t="shared" ref="AX97:AX109" si="60">AW97/AW76</f>
        <v>76714.28571428571</v>
      </c>
      <c r="AY97" s="64">
        <f>5887500+80000</f>
        <v>5967500</v>
      </c>
      <c r="AZ97" s="61">
        <f t="shared" si="36"/>
        <v>77500</v>
      </c>
      <c r="BA97" s="64">
        <v>13732500</v>
      </c>
      <c r="BB97" s="61">
        <f t="shared" si="46"/>
        <v>75870.165745856357</v>
      </c>
      <c r="BC97" s="64">
        <v>2700000</v>
      </c>
      <c r="BD97" s="61">
        <f t="shared" si="51"/>
        <v>77142.857142857145</v>
      </c>
      <c r="BE97" s="64"/>
      <c r="BF97" s="63"/>
      <c r="BG97" s="64">
        <f>17400000+525000</f>
        <v>17925000</v>
      </c>
      <c r="BH97" s="61">
        <f t="shared" si="47"/>
        <v>75000</v>
      </c>
      <c r="BI97" s="64"/>
      <c r="BJ97" s="61"/>
      <c r="BK97" s="64"/>
      <c r="BL97" s="61"/>
      <c r="BM97" s="64">
        <v>1875000</v>
      </c>
      <c r="BN97" s="61">
        <f t="shared" ref="BN97:BN109" si="61">BM97/BM76</f>
        <v>75000</v>
      </c>
      <c r="BO97" s="64">
        <v>23850000</v>
      </c>
      <c r="BP97" s="61">
        <f t="shared" si="52"/>
        <v>75000</v>
      </c>
      <c r="BQ97" s="64">
        <f t="shared" si="48"/>
        <v>293907500</v>
      </c>
      <c r="BR97" s="61">
        <f t="shared" si="49"/>
        <v>73920.397384305834</v>
      </c>
    </row>
    <row r="98" spans="1:70" s="4" customFormat="1" ht="18.75" x14ac:dyDescent="0.25">
      <c r="A98" s="33"/>
      <c r="B98" s="34" t="s">
        <v>76</v>
      </c>
      <c r="C98" s="64"/>
      <c r="D98" s="61"/>
      <c r="E98" s="64">
        <v>1390000</v>
      </c>
      <c r="F98" s="61">
        <f t="shared" si="53"/>
        <v>81764.705882352937</v>
      </c>
      <c r="G98" s="64">
        <v>10705000</v>
      </c>
      <c r="H98" s="63">
        <f t="shared" si="37"/>
        <v>80488.721804511282</v>
      </c>
      <c r="I98" s="64">
        <f>55677500+283750</f>
        <v>55961250</v>
      </c>
      <c r="J98" s="61">
        <f t="shared" si="38"/>
        <v>84278.990963855424</v>
      </c>
      <c r="K98" s="64">
        <v>10292500</v>
      </c>
      <c r="L98" s="61">
        <f t="shared" si="39"/>
        <v>85061.983471074374</v>
      </c>
      <c r="M98" s="64">
        <v>66757500</v>
      </c>
      <c r="N98" s="61">
        <f t="shared" si="40"/>
        <v>83342.696629213489</v>
      </c>
      <c r="O98" s="64">
        <f>907500+72500</f>
        <v>980000</v>
      </c>
      <c r="P98" s="61">
        <f t="shared" ref="P98:P109" si="62">O98/O77</f>
        <v>81666.666666666672</v>
      </c>
      <c r="Q98" s="64"/>
      <c r="R98" s="63"/>
      <c r="S98" s="64">
        <v>5120000</v>
      </c>
      <c r="T98" s="66">
        <f t="shared" ref="T98:T109" si="63">S98/S77</f>
        <v>85333.333333333328</v>
      </c>
      <c r="U98" s="64">
        <v>4210000</v>
      </c>
      <c r="V98" s="61">
        <f t="shared" ref="V98:V109" si="64">U98/U77</f>
        <v>84200</v>
      </c>
      <c r="W98" s="64">
        <v>962500</v>
      </c>
      <c r="X98" s="61">
        <f t="shared" si="41"/>
        <v>87500</v>
      </c>
      <c r="Y98" s="64"/>
      <c r="Z98" s="61"/>
      <c r="AA98" s="64">
        <v>23815000</v>
      </c>
      <c r="AB98" s="63">
        <f t="shared" si="50"/>
        <v>86600</v>
      </c>
      <c r="AC98" s="64"/>
      <c r="AD98" s="61"/>
      <c r="AE98" s="64">
        <v>5750000</v>
      </c>
      <c r="AF98" s="61">
        <f t="shared" si="35"/>
        <v>85820.895522388062</v>
      </c>
      <c r="AG98" s="64">
        <v>5425000</v>
      </c>
      <c r="AH98" s="61">
        <f t="shared" si="44"/>
        <v>87500</v>
      </c>
      <c r="AI98" s="64">
        <v>6192500</v>
      </c>
      <c r="AJ98" s="67">
        <f t="shared" si="54"/>
        <v>82566.666666666672</v>
      </c>
      <c r="AK98" s="74"/>
      <c r="AL98" s="62"/>
      <c r="AM98" s="64">
        <f>18812500+385000</f>
        <v>19197500</v>
      </c>
      <c r="AN98" s="61">
        <f t="shared" si="56"/>
        <v>87659.817351598176</v>
      </c>
      <c r="AO98" s="64">
        <v>3062500</v>
      </c>
      <c r="AP98" s="61">
        <f t="shared" si="57"/>
        <v>87500</v>
      </c>
      <c r="AQ98" s="64">
        <v>2362500</v>
      </c>
      <c r="AR98" s="61">
        <f t="shared" si="45"/>
        <v>87500</v>
      </c>
      <c r="AS98" s="64">
        <v>1487500</v>
      </c>
      <c r="AT98" s="61">
        <f t="shared" si="58"/>
        <v>87500</v>
      </c>
      <c r="AU98" s="64"/>
      <c r="AV98" s="63"/>
      <c r="AW98" s="64"/>
      <c r="AX98" s="61"/>
      <c r="AY98" s="64"/>
      <c r="AZ98" s="61"/>
      <c r="BA98" s="64">
        <v>11280000</v>
      </c>
      <c r="BB98" s="61">
        <f t="shared" si="46"/>
        <v>80000</v>
      </c>
      <c r="BC98" s="64">
        <v>2160000</v>
      </c>
      <c r="BD98" s="61">
        <f t="shared" si="51"/>
        <v>80000</v>
      </c>
      <c r="BE98" s="64">
        <v>880000</v>
      </c>
      <c r="BF98" s="63">
        <f t="shared" ref="BF98:BF109" si="65">BE98/BE77</f>
        <v>80000</v>
      </c>
      <c r="BG98" s="64">
        <f>23120000+270000</f>
        <v>23390000</v>
      </c>
      <c r="BH98" s="61">
        <f t="shared" si="47"/>
        <v>80102.739726027401</v>
      </c>
      <c r="BI98" s="64"/>
      <c r="BJ98" s="61"/>
      <c r="BK98" s="64"/>
      <c r="BL98" s="61"/>
      <c r="BM98" s="64"/>
      <c r="BN98" s="61"/>
      <c r="BO98" s="64">
        <v>1490000</v>
      </c>
      <c r="BP98" s="61">
        <f t="shared" si="52"/>
        <v>82777.777777777781</v>
      </c>
      <c r="BQ98" s="64">
        <f t="shared" si="48"/>
        <v>262871250</v>
      </c>
      <c r="BR98" s="61">
        <f t="shared" si="49"/>
        <v>83850.478468899528</v>
      </c>
    </row>
    <row r="99" spans="1:70" s="4" customFormat="1" x14ac:dyDescent="0.25">
      <c r="A99" s="33"/>
      <c r="B99" s="34" t="s">
        <v>77</v>
      </c>
      <c r="C99" s="64"/>
      <c r="D99" s="61"/>
      <c r="E99" s="64"/>
      <c r="F99" s="61"/>
      <c r="G99" s="64">
        <f>26841250+382500+288750</f>
        <v>27512500</v>
      </c>
      <c r="H99" s="63">
        <f t="shared" si="37"/>
        <v>95198.96193771626</v>
      </c>
      <c r="I99" s="64"/>
      <c r="J99" s="61"/>
      <c r="K99" s="64"/>
      <c r="L99" s="61"/>
      <c r="M99" s="64">
        <v>4640000</v>
      </c>
      <c r="N99" s="61">
        <f t="shared" si="40"/>
        <v>92800</v>
      </c>
      <c r="O99" s="64"/>
      <c r="P99" s="61"/>
      <c r="Q99" s="64"/>
      <c r="R99" s="63"/>
      <c r="S99" s="64"/>
      <c r="T99" s="66"/>
      <c r="U99" s="64"/>
      <c r="V99" s="61"/>
      <c r="W99" s="64">
        <v>6570000</v>
      </c>
      <c r="X99" s="61">
        <f t="shared" si="41"/>
        <v>90000</v>
      </c>
      <c r="Y99" s="64">
        <v>9520250</v>
      </c>
      <c r="Z99" s="61">
        <f t="shared" si="42"/>
        <v>93335.784313725497</v>
      </c>
      <c r="AA99" s="64">
        <v>1893750</v>
      </c>
      <c r="AB99" s="63">
        <f t="shared" si="50"/>
        <v>90178.571428571435</v>
      </c>
      <c r="AC99" s="64">
        <v>40237500</v>
      </c>
      <c r="AD99" s="61">
        <f t="shared" si="43"/>
        <v>90218.609865470848</v>
      </c>
      <c r="AE99" s="64">
        <v>11805000</v>
      </c>
      <c r="AF99" s="61">
        <f t="shared" si="35"/>
        <v>90114.503816793891</v>
      </c>
      <c r="AG99" s="64">
        <v>3765000</v>
      </c>
      <c r="AH99" s="61">
        <f t="shared" si="44"/>
        <v>91829.268292682929</v>
      </c>
      <c r="AI99" s="64">
        <v>3515000</v>
      </c>
      <c r="AJ99" s="67">
        <f t="shared" si="54"/>
        <v>92500</v>
      </c>
      <c r="AK99" s="64">
        <f>832500+215000</f>
        <v>1047500</v>
      </c>
      <c r="AL99" s="62">
        <f t="shared" si="55"/>
        <v>95227.272727272721</v>
      </c>
      <c r="AM99" s="64"/>
      <c r="AN99" s="61"/>
      <c r="AO99" s="64"/>
      <c r="AP99" s="61"/>
      <c r="AQ99" s="64"/>
      <c r="AR99" s="61"/>
      <c r="AS99" s="64"/>
      <c r="AT99" s="61"/>
      <c r="AU99" s="64">
        <v>3452500</v>
      </c>
      <c r="AV99" s="63">
        <f t="shared" si="59"/>
        <v>95902.777777777781</v>
      </c>
      <c r="AW99" s="64">
        <v>7892500</v>
      </c>
      <c r="AX99" s="61">
        <f t="shared" si="60"/>
        <v>96250</v>
      </c>
      <c r="AY99" s="64"/>
      <c r="AZ99" s="61"/>
      <c r="BA99" s="64">
        <f>4427500+673750+655000</f>
        <v>5756250</v>
      </c>
      <c r="BB99" s="61">
        <f t="shared" si="46"/>
        <v>97563.559322033892</v>
      </c>
      <c r="BC99" s="64">
        <v>4312500</v>
      </c>
      <c r="BD99" s="61">
        <f t="shared" si="51"/>
        <v>95833.333333333328</v>
      </c>
      <c r="BE99" s="64"/>
      <c r="BF99" s="63"/>
      <c r="BG99" s="64"/>
      <c r="BH99" s="61"/>
      <c r="BI99" s="64"/>
      <c r="BJ99" s="61"/>
      <c r="BK99" s="64"/>
      <c r="BL99" s="61"/>
      <c r="BM99" s="64"/>
      <c r="BN99" s="61"/>
      <c r="BO99" s="64">
        <f>29355000+180000</f>
        <v>29535000</v>
      </c>
      <c r="BP99" s="61">
        <f t="shared" si="52"/>
        <v>90045.731707317071</v>
      </c>
      <c r="BQ99" s="64">
        <f t="shared" si="48"/>
        <v>161455250</v>
      </c>
      <c r="BR99" s="61">
        <f t="shared" si="49"/>
        <v>92154.82305936073</v>
      </c>
    </row>
    <row r="100" spans="1:70" s="4" customFormat="1" x14ac:dyDescent="0.25">
      <c r="A100" s="33" t="s">
        <v>89</v>
      </c>
      <c r="B100" s="34" t="s">
        <v>78</v>
      </c>
      <c r="C100" s="64">
        <f>1192500+383750</f>
        <v>1576250</v>
      </c>
      <c r="D100" s="61">
        <f t="shared" ref="D100:D109" si="66">C100/C79</f>
        <v>112589.28571428571</v>
      </c>
      <c r="E100" s="64">
        <f>655000+500000</f>
        <v>1155000</v>
      </c>
      <c r="F100" s="61">
        <f t="shared" si="53"/>
        <v>115500</v>
      </c>
      <c r="G100" s="64">
        <v>43535000</v>
      </c>
      <c r="H100" s="63">
        <f t="shared" si="37"/>
        <v>107229.06403940887</v>
      </c>
      <c r="I100" s="64">
        <v>15038750</v>
      </c>
      <c r="J100" s="61">
        <f t="shared" si="38"/>
        <v>108976.44927536232</v>
      </c>
      <c r="K100" s="64">
        <v>1195000</v>
      </c>
      <c r="L100" s="61">
        <f t="shared" si="39"/>
        <v>108636.36363636363</v>
      </c>
      <c r="M100" s="64">
        <v>22952500</v>
      </c>
      <c r="N100" s="61">
        <f t="shared" si="40"/>
        <v>108266.50943396226</v>
      </c>
      <c r="O100" s="64">
        <f>3082500+130000</f>
        <v>3212500</v>
      </c>
      <c r="P100" s="61">
        <f t="shared" si="62"/>
        <v>110775.86206896552</v>
      </c>
      <c r="Q100" s="64"/>
      <c r="R100" s="63"/>
      <c r="S100" s="64">
        <f>4066250+112500+390000</f>
        <v>4568750</v>
      </c>
      <c r="T100" s="66">
        <f t="shared" si="63"/>
        <v>108779.76190476191</v>
      </c>
      <c r="U100" s="64">
        <f>11158750+780000</f>
        <v>11938750</v>
      </c>
      <c r="V100" s="61">
        <f t="shared" si="64"/>
        <v>108534.09090909091</v>
      </c>
      <c r="W100" s="64">
        <f>6960000+910000</f>
        <v>7870000</v>
      </c>
      <c r="X100" s="61">
        <f t="shared" si="41"/>
        <v>107808.21917808219</v>
      </c>
      <c r="Y100" s="64">
        <v>1557500</v>
      </c>
      <c r="Z100" s="61">
        <f t="shared" si="42"/>
        <v>103833.33333333333</v>
      </c>
      <c r="AA100" s="64">
        <v>19937500</v>
      </c>
      <c r="AB100" s="63">
        <f t="shared" si="50"/>
        <v>102770.61855670103</v>
      </c>
      <c r="AC100" s="64">
        <v>7332500</v>
      </c>
      <c r="AD100" s="61">
        <f t="shared" si="43"/>
        <v>103274.64788732394</v>
      </c>
      <c r="AE100" s="64">
        <v>14145000</v>
      </c>
      <c r="AF100" s="61">
        <f t="shared" si="35"/>
        <v>104007.35294117648</v>
      </c>
      <c r="AG100" s="64">
        <v>4410000</v>
      </c>
      <c r="AH100" s="61">
        <f t="shared" si="44"/>
        <v>105000</v>
      </c>
      <c r="AI100" s="64">
        <v>1075000</v>
      </c>
      <c r="AJ100" s="67">
        <f t="shared" si="54"/>
        <v>107500</v>
      </c>
      <c r="AK100" s="64"/>
      <c r="AL100" s="62"/>
      <c r="AM100" s="64">
        <v>16515000</v>
      </c>
      <c r="AN100" s="61">
        <f t="shared" si="56"/>
        <v>107941.17647058824</v>
      </c>
      <c r="AO100" s="64">
        <v>1192500</v>
      </c>
      <c r="AP100" s="61">
        <f t="shared" si="57"/>
        <v>108409.09090909091</v>
      </c>
      <c r="AQ100" s="64">
        <f>61911250+120000</f>
        <v>62031250</v>
      </c>
      <c r="AR100" s="61">
        <f t="shared" si="45"/>
        <v>117706.35673624289</v>
      </c>
      <c r="AS100" s="64">
        <v>2878750</v>
      </c>
      <c r="AT100" s="61">
        <f t="shared" si="58"/>
        <v>115150</v>
      </c>
      <c r="AU100" s="64">
        <v>4622500</v>
      </c>
      <c r="AV100" s="63">
        <f t="shared" si="59"/>
        <v>107500</v>
      </c>
      <c r="AW100" s="64">
        <v>1505000</v>
      </c>
      <c r="AX100" s="61">
        <f t="shared" si="60"/>
        <v>107500</v>
      </c>
      <c r="AY100" s="64"/>
      <c r="AZ100" s="61"/>
      <c r="BA100" s="64"/>
      <c r="BB100" s="61"/>
      <c r="BC100" s="64">
        <v>3461250</v>
      </c>
      <c r="BD100" s="61">
        <f t="shared" si="51"/>
        <v>104886.36363636363</v>
      </c>
      <c r="BE100" s="64"/>
      <c r="BF100" s="63"/>
      <c r="BG100" s="64">
        <f>36615000+652500</f>
        <v>37267500</v>
      </c>
      <c r="BH100" s="61">
        <f t="shared" si="47"/>
        <v>101823.77049180328</v>
      </c>
      <c r="BI100" s="64"/>
      <c r="BJ100" s="61"/>
      <c r="BK100" s="64"/>
      <c r="BL100" s="61"/>
      <c r="BM100" s="64"/>
      <c r="BN100" s="61"/>
      <c r="BO100" s="64">
        <f>28550000+105000</f>
        <v>28655000</v>
      </c>
      <c r="BP100" s="61">
        <f t="shared" si="52"/>
        <v>102339.28571428571</v>
      </c>
      <c r="BQ100" s="64">
        <f t="shared" si="48"/>
        <v>319628750</v>
      </c>
      <c r="BR100" s="61">
        <f t="shared" si="49"/>
        <v>107800.59021922428</v>
      </c>
    </row>
    <row r="101" spans="1:70" s="4" customFormat="1" x14ac:dyDescent="0.25">
      <c r="A101" s="33"/>
      <c r="B101" s="34" t="s">
        <v>44</v>
      </c>
      <c r="C101" s="64"/>
      <c r="D101" s="61"/>
      <c r="E101" s="64"/>
      <c r="F101" s="61"/>
      <c r="G101" s="64">
        <v>2065000</v>
      </c>
      <c r="H101" s="63">
        <f t="shared" si="37"/>
        <v>129062.5</v>
      </c>
      <c r="I101" s="64"/>
      <c r="J101" s="61"/>
      <c r="K101" s="64"/>
      <c r="L101" s="61"/>
      <c r="M101" s="64"/>
      <c r="N101" s="61"/>
      <c r="O101" s="64"/>
      <c r="P101" s="61"/>
      <c r="Q101" s="64"/>
      <c r="R101" s="63"/>
      <c r="S101" s="64"/>
      <c r="T101" s="66"/>
      <c r="U101" s="64"/>
      <c r="V101" s="61"/>
      <c r="W101" s="64"/>
      <c r="X101" s="61"/>
      <c r="Y101" s="64">
        <v>2035000</v>
      </c>
      <c r="Z101" s="61">
        <f t="shared" si="42"/>
        <v>127187.5</v>
      </c>
      <c r="AA101" s="64">
        <f>2550000+600000</f>
        <v>3150000</v>
      </c>
      <c r="AB101" s="63">
        <f t="shared" si="50"/>
        <v>131250</v>
      </c>
      <c r="AC101" s="64"/>
      <c r="AD101" s="61"/>
      <c r="AE101" s="64">
        <v>33545000</v>
      </c>
      <c r="AF101" s="61">
        <f t="shared" si="35"/>
        <v>129019.23076923077</v>
      </c>
      <c r="AG101" s="64">
        <f>2860000+630000</f>
        <v>3490000</v>
      </c>
      <c r="AH101" s="61">
        <f t="shared" si="44"/>
        <v>134230.76923076922</v>
      </c>
      <c r="AI101" s="64"/>
      <c r="AJ101" s="67"/>
      <c r="AK101" s="64">
        <f>3987500+682500</f>
        <v>4670000</v>
      </c>
      <c r="AL101" s="62">
        <f t="shared" si="55"/>
        <v>137352.9411764706</v>
      </c>
      <c r="AM101" s="64">
        <v>1445000</v>
      </c>
      <c r="AN101" s="61">
        <f t="shared" si="56"/>
        <v>120416.66666666667</v>
      </c>
      <c r="AO101" s="64"/>
      <c r="AP101" s="61"/>
      <c r="AQ101" s="64"/>
      <c r="AR101" s="61"/>
      <c r="AS101" s="64"/>
      <c r="AT101" s="61"/>
      <c r="AU101" s="64">
        <v>3905000</v>
      </c>
      <c r="AV101" s="63">
        <f t="shared" si="59"/>
        <v>125967.74193548386</v>
      </c>
      <c r="AW101" s="64">
        <v>3535000</v>
      </c>
      <c r="AX101" s="61">
        <f t="shared" si="60"/>
        <v>126250</v>
      </c>
      <c r="AY101" s="64">
        <v>5065000</v>
      </c>
      <c r="AZ101" s="61">
        <f t="shared" si="36"/>
        <v>129871.79487179487</v>
      </c>
      <c r="BA101" s="64">
        <v>8020000</v>
      </c>
      <c r="BB101" s="61">
        <f t="shared" si="46"/>
        <v>125312.5</v>
      </c>
      <c r="BC101" s="64">
        <v>2847500</v>
      </c>
      <c r="BD101" s="61">
        <f t="shared" si="51"/>
        <v>129431.81818181818</v>
      </c>
      <c r="BE101" s="64"/>
      <c r="BF101" s="63"/>
      <c r="BG101" s="64">
        <f>7855000+130000</f>
        <v>7985000</v>
      </c>
      <c r="BH101" s="61">
        <f t="shared" si="47"/>
        <v>128790.32258064517</v>
      </c>
      <c r="BI101" s="64"/>
      <c r="BJ101" s="61"/>
      <c r="BK101" s="64"/>
      <c r="BL101" s="61"/>
      <c r="BM101" s="64"/>
      <c r="BN101" s="61"/>
      <c r="BO101" s="64">
        <v>8470000</v>
      </c>
      <c r="BP101" s="61">
        <f t="shared" si="52"/>
        <v>128333.33333333333</v>
      </c>
      <c r="BQ101" s="64">
        <f t="shared" si="48"/>
        <v>90227500</v>
      </c>
      <c r="BR101" s="61">
        <f t="shared" si="49"/>
        <v>128896.42857142857</v>
      </c>
    </row>
    <row r="102" spans="1:70" s="4" customFormat="1" ht="15.75" x14ac:dyDescent="0.25">
      <c r="A102" s="33"/>
      <c r="B102" s="34" t="s">
        <v>45</v>
      </c>
      <c r="C102" s="64"/>
      <c r="D102" s="61"/>
      <c r="E102" s="64"/>
      <c r="F102" s="61"/>
      <c r="G102" s="64">
        <f>9590000+312500</f>
        <v>9902500</v>
      </c>
      <c r="H102" s="68">
        <f t="shared" si="37"/>
        <v>150037.87878787878</v>
      </c>
      <c r="I102" s="64"/>
      <c r="J102" s="61"/>
      <c r="K102" s="64"/>
      <c r="L102" s="61"/>
      <c r="M102" s="64">
        <v>5700000</v>
      </c>
      <c r="N102" s="61">
        <f t="shared" si="40"/>
        <v>150000</v>
      </c>
      <c r="O102" s="64"/>
      <c r="P102" s="61"/>
      <c r="Q102" s="64"/>
      <c r="R102" s="63"/>
      <c r="S102" s="64"/>
      <c r="T102" s="66"/>
      <c r="U102" s="64"/>
      <c r="V102" s="61"/>
      <c r="W102" s="64"/>
      <c r="X102" s="61"/>
      <c r="Y102" s="64"/>
      <c r="Z102" s="61"/>
      <c r="AA102" s="64"/>
      <c r="AB102" s="63"/>
      <c r="AC102" s="64"/>
      <c r="AD102" s="61"/>
      <c r="AE102" s="64"/>
      <c r="AF102" s="61"/>
      <c r="AG102" s="64"/>
      <c r="AH102" s="61"/>
      <c r="AI102" s="64"/>
      <c r="AJ102" s="67"/>
      <c r="AK102" s="64"/>
      <c r="AL102" s="62"/>
      <c r="AM102" s="64"/>
      <c r="AN102" s="61"/>
      <c r="AO102" s="64"/>
      <c r="AP102" s="61"/>
      <c r="AQ102" s="64"/>
      <c r="AR102" s="61"/>
      <c r="AS102" s="64"/>
      <c r="AT102" s="61"/>
      <c r="AU102" s="64">
        <f>1023750+1050000+675000</f>
        <v>2748750</v>
      </c>
      <c r="AV102" s="63">
        <f t="shared" si="59"/>
        <v>152708.33333333334</v>
      </c>
      <c r="AW102" s="64">
        <v>2422500</v>
      </c>
      <c r="AX102" s="61">
        <f t="shared" si="60"/>
        <v>151406.25</v>
      </c>
      <c r="AY102" s="64">
        <v>7440000</v>
      </c>
      <c r="AZ102" s="61">
        <f t="shared" si="36"/>
        <v>155000</v>
      </c>
      <c r="BA102" s="64">
        <v>13382500</v>
      </c>
      <c r="BB102" s="61">
        <f t="shared" si="46"/>
        <v>143897.84946236559</v>
      </c>
      <c r="BC102" s="64">
        <v>5565000</v>
      </c>
      <c r="BD102" s="61">
        <f t="shared" si="51"/>
        <v>150405.40540540541</v>
      </c>
      <c r="BE102" s="64">
        <v>1480000</v>
      </c>
      <c r="BF102" s="63">
        <f t="shared" si="65"/>
        <v>148000</v>
      </c>
      <c r="BG102" s="64">
        <f>13185000+150000+145000</f>
        <v>13480000</v>
      </c>
      <c r="BH102" s="61">
        <f t="shared" si="47"/>
        <v>148131.86813186813</v>
      </c>
      <c r="BI102" s="64"/>
      <c r="BJ102" s="61"/>
      <c r="BK102" s="64"/>
      <c r="BL102" s="61"/>
      <c r="BM102" s="64"/>
      <c r="BN102" s="61"/>
      <c r="BO102" s="64"/>
      <c r="BP102" s="61"/>
      <c r="BQ102" s="64">
        <f t="shared" si="48"/>
        <v>62121250</v>
      </c>
      <c r="BR102" s="61">
        <f t="shared" si="49"/>
        <v>148971.82254196642</v>
      </c>
    </row>
    <row r="103" spans="1:70" s="4" customFormat="1" x14ac:dyDescent="0.25">
      <c r="A103" s="44"/>
      <c r="B103" s="36" t="s">
        <v>46</v>
      </c>
      <c r="C103" s="64"/>
      <c r="D103" s="61"/>
      <c r="E103" s="64">
        <v>2031250</v>
      </c>
      <c r="F103" s="61">
        <f t="shared" si="53"/>
        <v>169270.83333333334</v>
      </c>
      <c r="G103" s="64">
        <v>1662500</v>
      </c>
      <c r="H103" s="63">
        <f t="shared" si="37"/>
        <v>166250</v>
      </c>
      <c r="I103" s="64">
        <v>6500000</v>
      </c>
      <c r="J103" s="61">
        <f t="shared" si="38"/>
        <v>162500</v>
      </c>
      <c r="K103" s="64"/>
      <c r="L103" s="61"/>
      <c r="M103" s="64">
        <f>15370000+162500+390000</f>
        <v>15922500</v>
      </c>
      <c r="N103" s="61">
        <f t="shared" si="40"/>
        <v>165859.375</v>
      </c>
      <c r="O103" s="64">
        <v>5275000</v>
      </c>
      <c r="P103" s="61">
        <f t="shared" si="62"/>
        <v>164843.75</v>
      </c>
      <c r="Q103" s="64"/>
      <c r="R103" s="63"/>
      <c r="S103" s="64">
        <f>6950000+450000</f>
        <v>7400000</v>
      </c>
      <c r="T103" s="66">
        <f t="shared" si="63"/>
        <v>172093.02325581395</v>
      </c>
      <c r="U103" s="64">
        <v>5202500</v>
      </c>
      <c r="V103" s="61">
        <f t="shared" si="64"/>
        <v>173416.66666666666</v>
      </c>
      <c r="W103" s="64"/>
      <c r="X103" s="61"/>
      <c r="Y103" s="64">
        <v>2025000</v>
      </c>
      <c r="Z103" s="61">
        <f t="shared" si="42"/>
        <v>168750</v>
      </c>
      <c r="AA103" s="64">
        <f>1842500+187500</f>
        <v>2030000</v>
      </c>
      <c r="AB103" s="63">
        <f t="shared" si="50"/>
        <v>169166.66666666666</v>
      </c>
      <c r="AC103" s="64"/>
      <c r="AD103" s="61"/>
      <c r="AE103" s="64"/>
      <c r="AF103" s="61"/>
      <c r="AG103" s="64"/>
      <c r="AH103" s="61"/>
      <c r="AI103" s="64"/>
      <c r="AJ103" s="67"/>
      <c r="AK103" s="64"/>
      <c r="AL103" s="62"/>
      <c r="AM103" s="64">
        <f>10125000+487500+700000</f>
        <v>11312500</v>
      </c>
      <c r="AN103" s="61">
        <f t="shared" si="56"/>
        <v>174038.46153846153</v>
      </c>
      <c r="AO103" s="64">
        <f>4375000+1755000</f>
        <v>6130000</v>
      </c>
      <c r="AP103" s="61">
        <f t="shared" si="57"/>
        <v>180294.11764705883</v>
      </c>
      <c r="AQ103" s="64">
        <v>19075000</v>
      </c>
      <c r="AR103" s="61">
        <f t="shared" si="45"/>
        <v>175000</v>
      </c>
      <c r="AS103" s="64">
        <v>14525000</v>
      </c>
      <c r="AT103" s="61">
        <f t="shared" si="58"/>
        <v>175000</v>
      </c>
      <c r="AU103" s="64"/>
      <c r="AV103" s="63"/>
      <c r="AW103" s="64"/>
      <c r="AX103" s="61"/>
      <c r="AY103" s="64">
        <v>9725000</v>
      </c>
      <c r="AZ103" s="61">
        <f t="shared" si="36"/>
        <v>170614.0350877193</v>
      </c>
      <c r="BA103" s="64">
        <v>9618750</v>
      </c>
      <c r="BB103" s="61">
        <f t="shared" si="46"/>
        <v>168750</v>
      </c>
      <c r="BC103" s="64">
        <f>5400000+1500000</f>
        <v>6900000</v>
      </c>
      <c r="BD103" s="61">
        <f t="shared" si="51"/>
        <v>172500</v>
      </c>
      <c r="BE103" s="64"/>
      <c r="BF103" s="63"/>
      <c r="BG103" s="64"/>
      <c r="BH103" s="61"/>
      <c r="BI103" s="64"/>
      <c r="BJ103" s="61"/>
      <c r="BK103" s="64"/>
      <c r="BL103" s="61"/>
      <c r="BM103" s="64">
        <v>4187500</v>
      </c>
      <c r="BN103" s="61">
        <f t="shared" si="61"/>
        <v>167500</v>
      </c>
      <c r="BO103" s="64"/>
      <c r="BP103" s="61"/>
      <c r="BQ103" s="64">
        <f t="shared" si="48"/>
        <v>129522500</v>
      </c>
      <c r="BR103" s="61">
        <f t="shared" si="49"/>
        <v>171099.73579920741</v>
      </c>
    </row>
    <row r="104" spans="1:70" s="4" customFormat="1" x14ac:dyDescent="0.25">
      <c r="A104" s="33"/>
      <c r="B104" s="43" t="s">
        <v>47</v>
      </c>
      <c r="C104" s="64"/>
      <c r="D104" s="61"/>
      <c r="E104" s="64"/>
      <c r="F104" s="61"/>
      <c r="G104" s="64"/>
      <c r="H104" s="63"/>
      <c r="I104" s="64"/>
      <c r="J104" s="61"/>
      <c r="K104" s="64"/>
      <c r="L104" s="61"/>
      <c r="M104" s="64"/>
      <c r="N104" s="61"/>
      <c r="O104" s="64"/>
      <c r="P104" s="61"/>
      <c r="Q104" s="64"/>
      <c r="R104" s="63"/>
      <c r="S104" s="64"/>
      <c r="T104" s="66"/>
      <c r="U104" s="64"/>
      <c r="V104" s="61"/>
      <c r="W104" s="64"/>
      <c r="X104" s="61"/>
      <c r="Y104" s="64">
        <f>3375000+1687500+200000</f>
        <v>5262500</v>
      </c>
      <c r="Z104" s="61">
        <f t="shared" si="42"/>
        <v>187946.42857142858</v>
      </c>
      <c r="AA104" s="64"/>
      <c r="AB104" s="63"/>
      <c r="AC104" s="64"/>
      <c r="AD104" s="61"/>
      <c r="AE104" s="64">
        <v>5437500</v>
      </c>
      <c r="AF104" s="61">
        <f t="shared" si="35"/>
        <v>187500</v>
      </c>
      <c r="AG104" s="64">
        <v>1875000</v>
      </c>
      <c r="AH104" s="61">
        <f t="shared" si="44"/>
        <v>187500</v>
      </c>
      <c r="AI104" s="64"/>
      <c r="AJ104" s="67"/>
      <c r="AK104" s="64">
        <f>3000000+212500</f>
        <v>3212500</v>
      </c>
      <c r="AL104" s="62">
        <f t="shared" si="55"/>
        <v>188970.58823529413</v>
      </c>
      <c r="AM104" s="64">
        <f>1950000+400000</f>
        <v>2350000</v>
      </c>
      <c r="AN104" s="61">
        <f t="shared" si="56"/>
        <v>195833.33333333334</v>
      </c>
      <c r="AO104" s="64"/>
      <c r="AP104" s="61"/>
      <c r="AQ104" s="64">
        <v>6240000</v>
      </c>
      <c r="AR104" s="61">
        <f t="shared" si="45"/>
        <v>195000</v>
      </c>
      <c r="AS104" s="64">
        <f>2145000+425000</f>
        <v>2570000</v>
      </c>
      <c r="AT104" s="61">
        <f t="shared" si="58"/>
        <v>197692.30769230769</v>
      </c>
      <c r="AU104" s="64">
        <f>937500+1600000</f>
        <v>2537500</v>
      </c>
      <c r="AV104" s="63">
        <f t="shared" si="59"/>
        <v>195192.30769230769</v>
      </c>
      <c r="AW104" s="64"/>
      <c r="AX104" s="61"/>
      <c r="AY104" s="64">
        <f>12870000+1800000+187500</f>
        <v>14857500</v>
      </c>
      <c r="AZ104" s="61">
        <f t="shared" si="36"/>
        <v>195493.42105263157</v>
      </c>
      <c r="BA104" s="64"/>
      <c r="BB104" s="61"/>
      <c r="BC104" s="64"/>
      <c r="BD104" s="61"/>
      <c r="BE104" s="64"/>
      <c r="BF104" s="63"/>
      <c r="BG104" s="64"/>
      <c r="BH104" s="61"/>
      <c r="BI104" s="64"/>
      <c r="BJ104" s="61"/>
      <c r="BK104" s="64"/>
      <c r="BL104" s="61"/>
      <c r="BM104" s="64"/>
      <c r="BN104" s="61"/>
      <c r="BO104" s="64"/>
      <c r="BP104" s="61"/>
      <c r="BQ104" s="64">
        <f t="shared" si="48"/>
        <v>44342500</v>
      </c>
      <c r="BR104" s="61">
        <f t="shared" si="49"/>
        <v>192793.47826086957</v>
      </c>
    </row>
    <row r="105" spans="1:70" s="4" customFormat="1" x14ac:dyDescent="0.25">
      <c r="A105" s="33" t="s">
        <v>90</v>
      </c>
      <c r="B105" s="43" t="s">
        <v>79</v>
      </c>
      <c r="C105" s="64"/>
      <c r="D105" s="61"/>
      <c r="E105" s="64"/>
      <c r="F105" s="61"/>
      <c r="G105" s="64">
        <f>5656250+800000</f>
        <v>6456250</v>
      </c>
      <c r="H105" s="63">
        <f t="shared" si="37"/>
        <v>208266.12903225806</v>
      </c>
      <c r="I105" s="64">
        <v>2298500</v>
      </c>
      <c r="J105" s="61">
        <f t="shared" si="38"/>
        <v>208954.54545454544</v>
      </c>
      <c r="K105" s="64">
        <v>2312500</v>
      </c>
      <c r="L105" s="61">
        <f t="shared" si="39"/>
        <v>210227.27272727274</v>
      </c>
      <c r="M105" s="64">
        <v>4912500</v>
      </c>
      <c r="N105" s="61">
        <f t="shared" si="40"/>
        <v>204687.5</v>
      </c>
      <c r="O105" s="64">
        <v>2637500</v>
      </c>
      <c r="P105" s="61">
        <f t="shared" si="62"/>
        <v>202884.61538461538</v>
      </c>
      <c r="Q105" s="64"/>
      <c r="R105" s="63"/>
      <c r="S105" s="64"/>
      <c r="T105" s="66"/>
      <c r="U105" s="64">
        <f>5245000+1610000+200000</f>
        <v>7055000</v>
      </c>
      <c r="V105" s="61">
        <f t="shared" si="64"/>
        <v>201571.42857142858</v>
      </c>
      <c r="W105" s="64"/>
      <c r="X105" s="61"/>
      <c r="Y105" s="64"/>
      <c r="Z105" s="61"/>
      <c r="AA105" s="64"/>
      <c r="AB105" s="63"/>
      <c r="AC105" s="64"/>
      <c r="AD105" s="61"/>
      <c r="AE105" s="64"/>
      <c r="AF105" s="61"/>
      <c r="AG105" s="64"/>
      <c r="AH105" s="61"/>
      <c r="AI105" s="64"/>
      <c r="AJ105" s="67"/>
      <c r="AK105" s="64"/>
      <c r="AL105" s="62"/>
      <c r="AM105" s="64"/>
      <c r="AN105" s="61"/>
      <c r="AO105" s="64"/>
      <c r="AP105" s="61"/>
      <c r="AQ105" s="64"/>
      <c r="AR105" s="61"/>
      <c r="AS105" s="64"/>
      <c r="AT105" s="61"/>
      <c r="AU105" s="64"/>
      <c r="AV105" s="63"/>
      <c r="AW105" s="64"/>
      <c r="AX105" s="61"/>
      <c r="AY105" s="64"/>
      <c r="AZ105" s="61"/>
      <c r="BA105" s="64">
        <f>1000000+1000000</f>
        <v>2000000</v>
      </c>
      <c r="BB105" s="61">
        <f t="shared" si="46"/>
        <v>200000</v>
      </c>
      <c r="BC105" s="64">
        <v>2000000</v>
      </c>
      <c r="BD105" s="61">
        <f t="shared" si="51"/>
        <v>200000</v>
      </c>
      <c r="BE105" s="64"/>
      <c r="BF105" s="63"/>
      <c r="BG105" s="64"/>
      <c r="BH105" s="61"/>
      <c r="BI105" s="64"/>
      <c r="BJ105" s="61"/>
      <c r="BK105" s="64"/>
      <c r="BL105" s="61"/>
      <c r="BM105" s="64"/>
      <c r="BN105" s="61"/>
      <c r="BO105" s="64">
        <f>2150000+200000+400000</f>
        <v>2750000</v>
      </c>
      <c r="BP105" s="61">
        <f>BO105/BO84</f>
        <v>211538.46153846153</v>
      </c>
      <c r="BQ105" s="64">
        <f>SUM(C105,E105,G105,I105,K105,M105,O105,Q105,S105,U105,W105,Y105,AA105,AC105,AE105,AG105,AI105,AK105,AM105,AO105,AQ105,AS105,AU105,AW105,AY105,BA105,BC105,BE105,BG105,BI105,BK105,BM105,BO105)</f>
        <v>32422250</v>
      </c>
      <c r="BR105" s="61">
        <f t="shared" si="49"/>
        <v>205204.11392405065</v>
      </c>
    </row>
    <row r="106" spans="1:70" s="4" customFormat="1" x14ac:dyDescent="0.25">
      <c r="A106" s="33"/>
      <c r="B106" s="43" t="s">
        <v>80</v>
      </c>
      <c r="C106" s="64"/>
      <c r="D106" s="61"/>
      <c r="E106" s="64"/>
      <c r="F106" s="61"/>
      <c r="G106" s="64"/>
      <c r="H106" s="63"/>
      <c r="I106" s="64">
        <f>2262500+525000</f>
        <v>2787500</v>
      </c>
      <c r="J106" s="61">
        <f t="shared" si="38"/>
        <v>253409.09090909091</v>
      </c>
      <c r="K106" s="64"/>
      <c r="L106" s="61"/>
      <c r="M106" s="64">
        <f>537500+825000+275000+275000+825000+275000</f>
        <v>3012500</v>
      </c>
      <c r="N106" s="61">
        <f t="shared" si="40"/>
        <v>273863.63636363635</v>
      </c>
      <c r="O106" s="64"/>
      <c r="P106" s="61"/>
      <c r="Q106" s="64"/>
      <c r="R106" s="63"/>
      <c r="S106" s="64"/>
      <c r="T106" s="66"/>
      <c r="U106" s="64"/>
      <c r="V106" s="61"/>
      <c r="W106" s="64"/>
      <c r="X106" s="61"/>
      <c r="Y106" s="64"/>
      <c r="Z106" s="61"/>
      <c r="AA106" s="64"/>
      <c r="AB106" s="63"/>
      <c r="AC106" s="64"/>
      <c r="AD106" s="61"/>
      <c r="AE106" s="64"/>
      <c r="AF106" s="61"/>
      <c r="AG106" s="64"/>
      <c r="AH106" s="61"/>
      <c r="AI106" s="64"/>
      <c r="AJ106" s="67"/>
      <c r="AK106" s="64"/>
      <c r="AL106" s="62"/>
      <c r="AM106" s="64"/>
      <c r="AN106" s="61"/>
      <c r="AO106" s="64"/>
      <c r="AP106" s="61"/>
      <c r="AQ106" s="64">
        <f>1025000+1550000+256250+256250+512500+550000+268750</f>
        <v>4418750</v>
      </c>
      <c r="AR106" s="61">
        <f t="shared" si="45"/>
        <v>259926.4705882353</v>
      </c>
      <c r="AS106" s="64"/>
      <c r="AT106" s="61"/>
      <c r="AU106" s="64"/>
      <c r="AV106" s="63"/>
      <c r="AW106" s="64"/>
      <c r="AX106" s="61"/>
      <c r="AY106" s="64"/>
      <c r="AZ106" s="61"/>
      <c r="BA106" s="64"/>
      <c r="BB106" s="61"/>
      <c r="BC106" s="64"/>
      <c r="BD106" s="61"/>
      <c r="BE106" s="64"/>
      <c r="BF106" s="63"/>
      <c r="BG106" s="64"/>
      <c r="BH106" s="61"/>
      <c r="BI106" s="64"/>
      <c r="BJ106" s="61"/>
      <c r="BK106" s="64"/>
      <c r="BL106" s="61"/>
      <c r="BM106" s="64"/>
      <c r="BN106" s="61"/>
      <c r="BO106" s="64"/>
      <c r="BP106" s="61"/>
      <c r="BQ106" s="64">
        <f>SUM(C106,E106,G106,I106,K106,M106,O106,Q106,S106,U106,W106,Y106,AA106,AC106,AE106,AG106,AI106,AK106,AM106,AO106,AQ106,AS106,AU106,AW106,AY106,BA106,BC106,BE106,BG106,BI106,BK106,BM106,BO106)</f>
        <v>10218750</v>
      </c>
      <c r="BR106" s="61">
        <f t="shared" si="49"/>
        <v>262019.23076923078</v>
      </c>
    </row>
    <row r="107" spans="1:70" s="4" customFormat="1" x14ac:dyDescent="0.25">
      <c r="A107" s="33"/>
      <c r="B107" s="43" t="s">
        <v>81</v>
      </c>
      <c r="C107" s="64"/>
      <c r="D107" s="61"/>
      <c r="E107" s="64"/>
      <c r="F107" s="61"/>
      <c r="G107" s="64"/>
      <c r="H107" s="63"/>
      <c r="I107" s="64"/>
      <c r="J107" s="61"/>
      <c r="K107" s="64"/>
      <c r="L107" s="61"/>
      <c r="M107" s="64">
        <f>1012500+1162500+362500+387500+1162500+900000</f>
        <v>4987500</v>
      </c>
      <c r="N107" s="61">
        <f t="shared" si="40"/>
        <v>383653.84615384613</v>
      </c>
      <c r="O107" s="64"/>
      <c r="P107" s="61"/>
      <c r="Q107" s="64"/>
      <c r="R107" s="63"/>
      <c r="S107" s="64"/>
      <c r="T107" s="66"/>
      <c r="U107" s="64"/>
      <c r="V107" s="61"/>
      <c r="W107" s="64"/>
      <c r="X107" s="61"/>
      <c r="Y107" s="64"/>
      <c r="Z107" s="61"/>
      <c r="AA107" s="64"/>
      <c r="AB107" s="63"/>
      <c r="AC107" s="64"/>
      <c r="AD107" s="61"/>
      <c r="AE107" s="64"/>
      <c r="AF107" s="61"/>
      <c r="AG107" s="64"/>
      <c r="AH107" s="61"/>
      <c r="AI107" s="64"/>
      <c r="AJ107" s="67"/>
      <c r="AK107" s="64"/>
      <c r="AL107" s="62"/>
      <c r="AM107" s="64"/>
      <c r="AN107" s="61"/>
      <c r="AO107" s="64"/>
      <c r="AP107" s="61"/>
      <c r="AQ107" s="64"/>
      <c r="AR107" s="61"/>
      <c r="AS107" s="64"/>
      <c r="AT107" s="61"/>
      <c r="AU107" s="64"/>
      <c r="AV107" s="63"/>
      <c r="AW107" s="64"/>
      <c r="AX107" s="61"/>
      <c r="AY107" s="64"/>
      <c r="AZ107" s="61"/>
      <c r="BA107" s="64"/>
      <c r="BB107" s="61"/>
      <c r="BC107" s="64">
        <f>600000+1200000+300000+387500+362500+275000</f>
        <v>3125000</v>
      </c>
      <c r="BD107" s="61">
        <f t="shared" si="51"/>
        <v>312500</v>
      </c>
      <c r="BE107" s="64"/>
      <c r="BF107" s="63"/>
      <c r="BG107" s="64"/>
      <c r="BH107" s="61"/>
      <c r="BI107" s="64"/>
      <c r="BJ107" s="61"/>
      <c r="BK107" s="64"/>
      <c r="BL107" s="61"/>
      <c r="BM107" s="64"/>
      <c r="BN107" s="61"/>
      <c r="BO107" s="64"/>
      <c r="BP107" s="61"/>
      <c r="BQ107" s="64">
        <f t="shared" si="48"/>
        <v>8112500</v>
      </c>
      <c r="BR107" s="61">
        <f t="shared" si="49"/>
        <v>352717.39130434784</v>
      </c>
    </row>
    <row r="108" spans="1:70" s="4" customFormat="1" x14ac:dyDescent="0.25">
      <c r="A108" s="33"/>
      <c r="B108" s="34" t="s">
        <v>91</v>
      </c>
      <c r="C108" s="64"/>
      <c r="D108" s="61"/>
      <c r="E108" s="64"/>
      <c r="F108" s="61"/>
      <c r="G108" s="64"/>
      <c r="H108" s="63"/>
      <c r="I108" s="64"/>
      <c r="J108" s="61"/>
      <c r="K108" s="64"/>
      <c r="L108" s="61"/>
      <c r="M108" s="64"/>
      <c r="N108" s="61"/>
      <c r="O108" s="64"/>
      <c r="P108" s="61"/>
      <c r="Q108" s="64"/>
      <c r="R108" s="63"/>
      <c r="S108" s="64"/>
      <c r="T108" s="66"/>
      <c r="U108" s="64"/>
      <c r="V108" s="61"/>
      <c r="W108" s="64"/>
      <c r="X108" s="61"/>
      <c r="Y108" s="64"/>
      <c r="Z108" s="61"/>
      <c r="AA108" s="64"/>
      <c r="AB108" s="63"/>
      <c r="AC108" s="64"/>
      <c r="AD108" s="61"/>
      <c r="AE108" s="64"/>
      <c r="AF108" s="61"/>
      <c r="AG108" s="64"/>
      <c r="AH108" s="61"/>
      <c r="AI108" s="64"/>
      <c r="AJ108" s="67"/>
      <c r="AK108" s="64"/>
      <c r="AL108" s="62"/>
      <c r="AM108" s="64"/>
      <c r="AN108" s="61"/>
      <c r="AO108" s="64"/>
      <c r="AP108" s="61"/>
      <c r="AQ108" s="64"/>
      <c r="AR108" s="61"/>
      <c r="AS108" s="64"/>
      <c r="AT108" s="61"/>
      <c r="AU108" s="64"/>
      <c r="AV108" s="63"/>
      <c r="AW108" s="64"/>
      <c r="AX108" s="61"/>
      <c r="AY108" s="64"/>
      <c r="AZ108" s="61"/>
      <c r="BA108" s="64"/>
      <c r="BB108" s="61"/>
      <c r="BC108" s="64"/>
      <c r="BD108" s="61"/>
      <c r="BE108" s="64"/>
      <c r="BF108" s="63"/>
      <c r="BG108" s="64"/>
      <c r="BH108" s="61"/>
      <c r="BI108" s="64"/>
      <c r="BJ108" s="61"/>
      <c r="BK108" s="64"/>
      <c r="BL108" s="61"/>
      <c r="BM108" s="64"/>
      <c r="BN108" s="61"/>
      <c r="BO108" s="64"/>
      <c r="BP108" s="61"/>
      <c r="BQ108" s="64">
        <f t="shared" si="48"/>
        <v>0</v>
      </c>
      <c r="BR108" s="61">
        <v>0</v>
      </c>
    </row>
    <row r="109" spans="1:70" s="4" customFormat="1" ht="15.75" thickBot="1" x14ac:dyDescent="0.3">
      <c r="A109" s="128" t="s">
        <v>0</v>
      </c>
      <c r="B109" s="129"/>
      <c r="C109" s="75">
        <f>SUM(C94:C108)</f>
        <v>1576250</v>
      </c>
      <c r="D109" s="69">
        <f t="shared" si="66"/>
        <v>112589.28571428571</v>
      </c>
      <c r="E109" s="75">
        <f>SUM(E94:E108)</f>
        <v>8988750</v>
      </c>
      <c r="F109" s="69">
        <f t="shared" si="53"/>
        <v>89887.5</v>
      </c>
      <c r="G109" s="75">
        <f>SUM(G94:G108)</f>
        <v>188048750</v>
      </c>
      <c r="H109" s="70">
        <f t="shared" si="37"/>
        <v>85476.704545454544</v>
      </c>
      <c r="I109" s="75">
        <f>SUM(I94:I108)</f>
        <v>110148500</v>
      </c>
      <c r="J109" s="69">
        <f t="shared" si="38"/>
        <v>84794.842186297145</v>
      </c>
      <c r="K109" s="75">
        <f>SUM(K94:K108)</f>
        <v>15950000</v>
      </c>
      <c r="L109" s="69">
        <f t="shared" si="39"/>
        <v>89606.741573033709</v>
      </c>
      <c r="M109" s="75">
        <f>SUM(M94:M108)</f>
        <v>173076250</v>
      </c>
      <c r="N109" s="69">
        <f t="shared" si="40"/>
        <v>89398.889462809922</v>
      </c>
      <c r="O109" s="75">
        <f>SUM(O94:O108)</f>
        <v>12105000</v>
      </c>
      <c r="P109" s="69">
        <f t="shared" si="62"/>
        <v>140755.81395348837</v>
      </c>
      <c r="Q109" s="75">
        <f>SUM(Q94:Q108)</f>
        <v>0</v>
      </c>
      <c r="R109" s="70">
        <v>0</v>
      </c>
      <c r="S109" s="75">
        <f>SUM(S94:S108)</f>
        <v>17088750</v>
      </c>
      <c r="T109" s="71">
        <f t="shared" si="63"/>
        <v>117853.44827586207</v>
      </c>
      <c r="U109" s="75">
        <f>SUM(U94:U108)</f>
        <v>28406250</v>
      </c>
      <c r="V109" s="69">
        <f t="shared" si="64"/>
        <v>126250</v>
      </c>
      <c r="W109" s="75">
        <f>SUM(W94:W108)</f>
        <v>22585000</v>
      </c>
      <c r="X109" s="69">
        <f t="shared" si="41"/>
        <v>85874.524714828891</v>
      </c>
      <c r="Y109" s="75">
        <f>SUM(Y94:Y108)</f>
        <v>22880250</v>
      </c>
      <c r="Z109" s="69">
        <f t="shared" si="42"/>
        <v>109474.88038277513</v>
      </c>
      <c r="AA109" s="75">
        <f>SUM(AA94:AA108)</f>
        <v>62418750</v>
      </c>
      <c r="AB109" s="70">
        <f t="shared" si="50"/>
        <v>91122.262773722628</v>
      </c>
      <c r="AC109" s="75">
        <f>SUM(AC94:AC108)</f>
        <v>142112000</v>
      </c>
      <c r="AD109" s="69">
        <f t="shared" si="43"/>
        <v>72803.278688524588</v>
      </c>
      <c r="AE109" s="75">
        <f>SUM(AE94:AE108)</f>
        <v>100930000</v>
      </c>
      <c r="AF109" s="69">
        <f t="shared" si="35"/>
        <v>95127.23845428841</v>
      </c>
      <c r="AG109" s="75">
        <f>SUM(AG94:AG108)</f>
        <v>30607500</v>
      </c>
      <c r="AH109" s="69">
        <f t="shared" si="44"/>
        <v>86461.864406779656</v>
      </c>
      <c r="AI109" s="75">
        <f>SUM(AI94:AI108)</f>
        <v>21402500</v>
      </c>
      <c r="AJ109" s="72">
        <f t="shared" si="54"/>
        <v>78685.661764705888</v>
      </c>
      <c r="AK109" s="75">
        <f>SUM(AK94:AK108)</f>
        <v>10705000</v>
      </c>
      <c r="AL109" s="73">
        <f t="shared" si="55"/>
        <v>123045.97701149425</v>
      </c>
      <c r="AM109" s="75">
        <f>SUM(AM94:AM108)</f>
        <v>66275000</v>
      </c>
      <c r="AN109" s="69">
        <f t="shared" si="56"/>
        <v>99362.818590704643</v>
      </c>
      <c r="AO109" s="75">
        <f>SUM(AO94:AO108)</f>
        <v>11510000</v>
      </c>
      <c r="AP109" s="69">
        <f t="shared" si="57"/>
        <v>121157.89473684211</v>
      </c>
      <c r="AQ109" s="75">
        <f>SUM(AQ94:AQ108)</f>
        <v>100335000</v>
      </c>
      <c r="AR109" s="69">
        <f t="shared" si="45"/>
        <v>123870.37037037036</v>
      </c>
      <c r="AS109" s="75">
        <f>SUM(AS94:AS108)</f>
        <v>23036250</v>
      </c>
      <c r="AT109" s="69">
        <f t="shared" si="58"/>
        <v>144882.0754716981</v>
      </c>
      <c r="AU109" s="75">
        <f>SUM(AU94:AU108)</f>
        <v>23551250</v>
      </c>
      <c r="AV109" s="70">
        <f t="shared" si="59"/>
        <v>104672.22222222222</v>
      </c>
      <c r="AW109" s="75">
        <f>SUM(AW94:AW108)</f>
        <v>23410000</v>
      </c>
      <c r="AX109" s="69">
        <f t="shared" si="60"/>
        <v>95551.020408163269</v>
      </c>
      <c r="AY109" s="75">
        <f>SUM(AY94:AY108)</f>
        <v>44507500</v>
      </c>
      <c r="AZ109" s="69">
        <f t="shared" si="36"/>
        <v>136946.15384615384</v>
      </c>
      <c r="BA109" s="75">
        <f>SUM(BA94:BA108)</f>
        <v>70772500</v>
      </c>
      <c r="BB109" s="69">
        <f t="shared" si="46"/>
        <v>95897.696476964775</v>
      </c>
      <c r="BC109" s="75">
        <f>SUM(BC94:BC108)</f>
        <v>33948750</v>
      </c>
      <c r="BD109" s="69">
        <f t="shared" si="51"/>
        <v>124811.58088235294</v>
      </c>
      <c r="BE109" s="75">
        <f>SUM(BE94:BE108)</f>
        <v>2360000</v>
      </c>
      <c r="BF109" s="70">
        <f t="shared" si="65"/>
        <v>112380.95238095238</v>
      </c>
      <c r="BG109" s="75">
        <f>SUM(BG94:BG108)</f>
        <v>116086250</v>
      </c>
      <c r="BH109" s="69">
        <f t="shared" si="47"/>
        <v>89228.478093774014</v>
      </c>
      <c r="BI109" s="75">
        <f>SUM(BI94:BI108)</f>
        <v>0</v>
      </c>
      <c r="BJ109" s="69">
        <v>0</v>
      </c>
      <c r="BK109" s="75">
        <f>SUM(BK94:BK108)</f>
        <v>0</v>
      </c>
      <c r="BL109" s="69">
        <v>0</v>
      </c>
      <c r="BM109" s="75">
        <f>SUM(BM94:BM108)</f>
        <v>6062500</v>
      </c>
      <c r="BN109" s="69">
        <f t="shared" si="61"/>
        <v>121250</v>
      </c>
      <c r="BO109" s="75">
        <f>SUM(BO94:BO108)</f>
        <v>96880000</v>
      </c>
      <c r="BP109" s="69">
        <f t="shared" si="52"/>
        <v>91742.42424242424</v>
      </c>
      <c r="BQ109" s="75">
        <f>SUM(BQ94:BQ108)</f>
        <v>1587764500</v>
      </c>
      <c r="BR109" s="69">
        <f t="shared" si="49"/>
        <v>93233.382266588378</v>
      </c>
    </row>
    <row r="110" spans="1:70" s="4" customFormat="1" x14ac:dyDescent="0.25">
      <c r="A110" s="23"/>
      <c r="B110" s="3"/>
      <c r="C110" s="2"/>
      <c r="D110" s="28"/>
      <c r="E110" s="2"/>
      <c r="F110" s="28"/>
      <c r="G110" s="2"/>
      <c r="H110" s="28"/>
      <c r="I110" s="2"/>
      <c r="J110" s="28"/>
      <c r="K110" s="2"/>
      <c r="L110" s="28"/>
      <c r="M110" s="2"/>
      <c r="N110" s="28"/>
      <c r="O110" s="2"/>
      <c r="P110" s="28"/>
      <c r="Q110" s="2"/>
      <c r="R110" s="28"/>
      <c r="S110" s="2"/>
      <c r="T110" s="28"/>
      <c r="U110" s="2"/>
      <c r="V110" s="28"/>
      <c r="W110" s="2"/>
      <c r="X110" s="28"/>
      <c r="Y110" s="2"/>
      <c r="Z110" s="28"/>
      <c r="AA110" s="2"/>
      <c r="AB110" s="28"/>
      <c r="AC110" s="2"/>
      <c r="AD110" s="28"/>
      <c r="AE110" s="2"/>
      <c r="AF110" s="28"/>
      <c r="AG110" s="2"/>
      <c r="AH110" s="28"/>
      <c r="AI110" s="2"/>
      <c r="AJ110" s="28"/>
      <c r="AK110" s="2"/>
      <c r="AL110" s="28"/>
      <c r="AM110" s="2"/>
      <c r="AN110" s="28"/>
      <c r="AO110" s="2"/>
      <c r="AP110" s="28"/>
      <c r="AQ110" s="2"/>
      <c r="AR110" s="28"/>
      <c r="AS110" s="2"/>
      <c r="AT110" s="28"/>
      <c r="AU110" s="2"/>
      <c r="AV110" s="28"/>
      <c r="AW110" s="2"/>
      <c r="AX110" s="28"/>
      <c r="AY110" s="2"/>
      <c r="AZ110" s="28"/>
      <c r="BA110" s="2"/>
      <c r="BB110" s="28"/>
      <c r="BC110" s="2"/>
      <c r="BD110" s="28"/>
      <c r="BE110" s="2"/>
      <c r="BF110" s="28"/>
      <c r="BG110" s="2"/>
      <c r="BH110" s="28"/>
      <c r="BI110" s="2"/>
      <c r="BJ110" s="28"/>
      <c r="BK110" s="2"/>
      <c r="BL110" s="28"/>
      <c r="BM110" s="2"/>
      <c r="BN110" s="28"/>
      <c r="BO110" s="2"/>
      <c r="BP110" s="28"/>
      <c r="BQ110" s="2"/>
      <c r="BR110" s="28"/>
    </row>
    <row r="111" spans="1:70" s="4" customFormat="1" x14ac:dyDescent="0.25">
      <c r="A111" s="5"/>
      <c r="B111" s="5"/>
    </row>
    <row r="112" spans="1:70" s="4" customFormat="1" ht="15.75" thickBot="1" x14ac:dyDescent="0.3">
      <c r="A112" s="94" t="s">
        <v>85</v>
      </c>
      <c r="B112" s="94"/>
      <c r="C112" s="94"/>
    </row>
    <row r="113" spans="1:70" s="4" customFormat="1" ht="15.75" thickBot="1" x14ac:dyDescent="0.3">
      <c r="A113" s="29"/>
      <c r="B113" s="51" t="s">
        <v>74</v>
      </c>
      <c r="C113" s="119" t="s">
        <v>5</v>
      </c>
      <c r="D113" s="120"/>
      <c r="E113" s="119" t="s">
        <v>6</v>
      </c>
      <c r="F113" s="120"/>
      <c r="G113" s="119" t="s">
        <v>7</v>
      </c>
      <c r="H113" s="120"/>
      <c r="I113" s="115" t="s">
        <v>8</v>
      </c>
      <c r="J113" s="117"/>
      <c r="K113" s="115" t="s">
        <v>9</v>
      </c>
      <c r="L113" s="116"/>
      <c r="M113" s="115" t="s">
        <v>10</v>
      </c>
      <c r="N113" s="116"/>
      <c r="O113" s="115" t="s">
        <v>11</v>
      </c>
      <c r="P113" s="116"/>
      <c r="Q113" s="122" t="s">
        <v>12</v>
      </c>
      <c r="R113" s="123"/>
      <c r="S113" s="115" t="s">
        <v>13</v>
      </c>
      <c r="T113" s="116"/>
      <c r="U113" s="115" t="s">
        <v>14</v>
      </c>
      <c r="V113" s="117"/>
      <c r="W113" s="115" t="s">
        <v>15</v>
      </c>
      <c r="X113" s="116"/>
      <c r="Y113" s="115" t="s">
        <v>16</v>
      </c>
      <c r="Z113" s="116"/>
      <c r="AA113" s="115" t="s">
        <v>17</v>
      </c>
      <c r="AB113" s="116"/>
      <c r="AC113" s="115" t="s">
        <v>18</v>
      </c>
      <c r="AD113" s="117"/>
      <c r="AE113" s="115" t="s">
        <v>19</v>
      </c>
      <c r="AF113" s="116"/>
      <c r="AG113" s="115" t="s">
        <v>20</v>
      </c>
      <c r="AH113" s="116"/>
      <c r="AI113" s="115" t="s">
        <v>21</v>
      </c>
      <c r="AJ113" s="116"/>
      <c r="AK113" s="115" t="s">
        <v>22</v>
      </c>
      <c r="AL113" s="116"/>
      <c r="AM113" s="115" t="s">
        <v>23</v>
      </c>
      <c r="AN113" s="116"/>
      <c r="AO113" s="115" t="s">
        <v>24</v>
      </c>
      <c r="AP113" s="116"/>
      <c r="AQ113" s="115" t="s">
        <v>25</v>
      </c>
      <c r="AR113" s="117"/>
      <c r="AS113" s="115" t="s">
        <v>26</v>
      </c>
      <c r="AT113" s="116"/>
      <c r="AU113" s="115" t="s">
        <v>27</v>
      </c>
      <c r="AV113" s="116"/>
      <c r="AW113" s="115" t="s">
        <v>28</v>
      </c>
      <c r="AX113" s="116"/>
      <c r="AY113" s="115" t="s">
        <v>29</v>
      </c>
      <c r="AZ113" s="116"/>
      <c r="BA113" s="115" t="s">
        <v>30</v>
      </c>
      <c r="BB113" s="116"/>
      <c r="BC113" s="115" t="s">
        <v>31</v>
      </c>
      <c r="BD113" s="117"/>
      <c r="BE113" s="115" t="s">
        <v>32</v>
      </c>
      <c r="BF113" s="116"/>
      <c r="BG113" s="115" t="s">
        <v>33</v>
      </c>
      <c r="BH113" s="116"/>
      <c r="BI113" s="122" t="s">
        <v>34</v>
      </c>
      <c r="BJ113" s="130"/>
      <c r="BK113" s="122" t="s">
        <v>86</v>
      </c>
      <c r="BL113" s="130"/>
      <c r="BM113" s="115" t="s">
        <v>35</v>
      </c>
      <c r="BN113" s="116"/>
      <c r="BO113" s="126" t="s">
        <v>36</v>
      </c>
      <c r="BP113" s="127"/>
      <c r="BQ113" s="126" t="s">
        <v>0</v>
      </c>
      <c r="BR113" s="127"/>
    </row>
    <row r="114" spans="1:70" s="4" customFormat="1" ht="15.75" thickBot="1" x14ac:dyDescent="0.3">
      <c r="A114" s="31" t="s">
        <v>39</v>
      </c>
      <c r="B114" s="52" t="s">
        <v>40</v>
      </c>
      <c r="C114" s="53" t="s">
        <v>69</v>
      </c>
      <c r="D114" s="54" t="s">
        <v>72</v>
      </c>
      <c r="E114" s="53" t="s">
        <v>69</v>
      </c>
      <c r="F114" s="54" t="s">
        <v>72</v>
      </c>
      <c r="G114" s="53" t="s">
        <v>69</v>
      </c>
      <c r="H114" s="54" t="s">
        <v>72</v>
      </c>
      <c r="I114" s="53" t="s">
        <v>69</v>
      </c>
      <c r="J114" s="55" t="s">
        <v>72</v>
      </c>
      <c r="K114" s="53" t="s">
        <v>69</v>
      </c>
      <c r="L114" s="54" t="s">
        <v>72</v>
      </c>
      <c r="M114" s="53" t="s">
        <v>69</v>
      </c>
      <c r="N114" s="54" t="s">
        <v>72</v>
      </c>
      <c r="O114" s="53" t="s">
        <v>69</v>
      </c>
      <c r="P114" s="54" t="s">
        <v>72</v>
      </c>
      <c r="Q114" s="58" t="s">
        <v>71</v>
      </c>
      <c r="R114" s="58" t="s">
        <v>72</v>
      </c>
      <c r="S114" s="53" t="s">
        <v>69</v>
      </c>
      <c r="T114" s="54" t="s">
        <v>72</v>
      </c>
      <c r="U114" s="53" t="s">
        <v>69</v>
      </c>
      <c r="V114" s="55" t="s">
        <v>72</v>
      </c>
      <c r="W114" s="53" t="s">
        <v>69</v>
      </c>
      <c r="X114" s="54" t="s">
        <v>72</v>
      </c>
      <c r="Y114" s="53" t="s">
        <v>69</v>
      </c>
      <c r="Z114" s="54" t="s">
        <v>72</v>
      </c>
      <c r="AA114" s="53" t="s">
        <v>69</v>
      </c>
      <c r="AB114" s="54" t="s">
        <v>72</v>
      </c>
      <c r="AC114" s="53" t="s">
        <v>69</v>
      </c>
      <c r="AD114" s="55" t="s">
        <v>72</v>
      </c>
      <c r="AE114" s="53" t="s">
        <v>69</v>
      </c>
      <c r="AF114" s="54" t="s">
        <v>72</v>
      </c>
      <c r="AG114" s="53" t="s">
        <v>69</v>
      </c>
      <c r="AH114" s="54" t="s">
        <v>72</v>
      </c>
      <c r="AI114" s="53" t="s">
        <v>69</v>
      </c>
      <c r="AJ114" s="54" t="s">
        <v>72</v>
      </c>
      <c r="AK114" s="53" t="s">
        <v>69</v>
      </c>
      <c r="AL114" s="54" t="s">
        <v>72</v>
      </c>
      <c r="AM114" s="53" t="s">
        <v>69</v>
      </c>
      <c r="AN114" s="54" t="s">
        <v>72</v>
      </c>
      <c r="AO114" s="53" t="s">
        <v>69</v>
      </c>
      <c r="AP114" s="54" t="s">
        <v>72</v>
      </c>
      <c r="AQ114" s="53" t="s">
        <v>69</v>
      </c>
      <c r="AR114" s="55" t="s">
        <v>72</v>
      </c>
      <c r="AS114" s="53" t="s">
        <v>69</v>
      </c>
      <c r="AT114" s="54" t="s">
        <v>72</v>
      </c>
      <c r="AU114" s="53" t="s">
        <v>69</v>
      </c>
      <c r="AV114" s="54" t="s">
        <v>72</v>
      </c>
      <c r="AW114" s="53" t="s">
        <v>69</v>
      </c>
      <c r="AX114" s="54" t="s">
        <v>72</v>
      </c>
      <c r="AY114" s="53" t="s">
        <v>69</v>
      </c>
      <c r="AZ114" s="54" t="s">
        <v>72</v>
      </c>
      <c r="BA114" s="53" t="s">
        <v>69</v>
      </c>
      <c r="BB114" s="54" t="s">
        <v>72</v>
      </c>
      <c r="BC114" s="53" t="s">
        <v>69</v>
      </c>
      <c r="BD114" s="55" t="s">
        <v>72</v>
      </c>
      <c r="BE114" s="53" t="s">
        <v>69</v>
      </c>
      <c r="BF114" s="54" t="s">
        <v>72</v>
      </c>
      <c r="BG114" s="53" t="s">
        <v>69</v>
      </c>
      <c r="BH114" s="54" t="s">
        <v>72</v>
      </c>
      <c r="BI114" s="53" t="s">
        <v>69</v>
      </c>
      <c r="BJ114" s="54" t="s">
        <v>72</v>
      </c>
      <c r="BK114" s="53" t="s">
        <v>69</v>
      </c>
      <c r="BL114" s="54" t="s">
        <v>72</v>
      </c>
      <c r="BM114" s="53" t="s">
        <v>69</v>
      </c>
      <c r="BN114" s="54" t="s">
        <v>72</v>
      </c>
      <c r="BO114" s="53" t="s">
        <v>69</v>
      </c>
      <c r="BP114" s="54" t="s">
        <v>72</v>
      </c>
      <c r="BQ114" s="53" t="s">
        <v>69</v>
      </c>
      <c r="BR114" s="54" t="s">
        <v>72</v>
      </c>
    </row>
    <row r="115" spans="1:70" s="4" customFormat="1" x14ac:dyDescent="0.25">
      <c r="A115" s="37" t="s">
        <v>87</v>
      </c>
      <c r="B115" s="38" t="s">
        <v>3</v>
      </c>
      <c r="C115" s="13"/>
      <c r="D115" s="14"/>
      <c r="E115" s="13"/>
      <c r="F115" s="14"/>
      <c r="G115" s="13"/>
      <c r="H115" s="14"/>
      <c r="I115" s="13"/>
      <c r="J115" s="21"/>
      <c r="K115" s="13"/>
      <c r="L115" s="14"/>
      <c r="M115" s="13"/>
      <c r="N115" s="14"/>
      <c r="O115" s="13"/>
      <c r="P115" s="14"/>
      <c r="Q115" s="9"/>
      <c r="R115" s="10"/>
      <c r="S115" s="13"/>
      <c r="T115" s="14"/>
      <c r="U115" s="13"/>
      <c r="V115" s="21"/>
      <c r="W115" s="13"/>
      <c r="X115" s="14"/>
      <c r="Y115" s="13"/>
      <c r="Z115" s="14"/>
      <c r="AA115" s="13"/>
      <c r="AB115" s="14"/>
      <c r="AC115" s="13"/>
      <c r="AD115" s="21"/>
      <c r="AE115" s="13"/>
      <c r="AF115" s="14"/>
      <c r="AG115" s="13"/>
      <c r="AH115" s="14"/>
      <c r="AI115" s="13"/>
      <c r="AJ115" s="14"/>
      <c r="AK115" s="13"/>
      <c r="AL115" s="14"/>
      <c r="AM115" s="13"/>
      <c r="AN115" s="14"/>
      <c r="AO115" s="13"/>
      <c r="AP115" s="14"/>
      <c r="AQ115" s="13"/>
      <c r="AR115" s="21"/>
      <c r="AS115" s="13"/>
      <c r="AT115" s="14"/>
      <c r="AU115" s="13"/>
      <c r="AV115" s="14"/>
      <c r="AW115" s="13"/>
      <c r="AX115" s="14"/>
      <c r="AY115" s="13"/>
      <c r="AZ115" s="14"/>
      <c r="BA115" s="13"/>
      <c r="BB115" s="14"/>
      <c r="BC115" s="13"/>
      <c r="BD115" s="21"/>
      <c r="BE115" s="13"/>
      <c r="BF115" s="14"/>
      <c r="BG115" s="13"/>
      <c r="BH115" s="14"/>
      <c r="BI115" s="13"/>
      <c r="BJ115" s="14"/>
      <c r="BK115" s="13"/>
      <c r="BL115" s="14"/>
      <c r="BM115" s="13"/>
      <c r="BN115" s="14"/>
      <c r="BO115" s="13"/>
      <c r="BP115" s="14"/>
      <c r="BQ115" s="13">
        <v>0</v>
      </c>
      <c r="BR115" s="14">
        <v>0</v>
      </c>
    </row>
    <row r="116" spans="1:70" s="4" customFormat="1" x14ac:dyDescent="0.25">
      <c r="A116" s="33" t="s">
        <v>88</v>
      </c>
      <c r="B116" s="34" t="s">
        <v>41</v>
      </c>
      <c r="C116" s="6"/>
      <c r="D116" s="7"/>
      <c r="E116" s="6"/>
      <c r="F116" s="7"/>
      <c r="G116" s="6">
        <v>1</v>
      </c>
      <c r="H116" s="7">
        <v>0</v>
      </c>
      <c r="I116" s="6">
        <v>1</v>
      </c>
      <c r="J116" s="8">
        <v>0</v>
      </c>
      <c r="K116" s="6">
        <v>1</v>
      </c>
      <c r="L116" s="7">
        <v>0</v>
      </c>
      <c r="M116" s="6">
        <v>1</v>
      </c>
      <c r="N116" s="7">
        <v>0</v>
      </c>
      <c r="O116" s="6"/>
      <c r="P116" s="7"/>
      <c r="Q116" s="6"/>
      <c r="R116" s="7"/>
      <c r="S116" s="6"/>
      <c r="T116" s="7"/>
      <c r="U116" s="6"/>
      <c r="V116" s="8"/>
      <c r="W116" s="6">
        <v>1</v>
      </c>
      <c r="X116" s="7">
        <v>0</v>
      </c>
      <c r="Y116" s="6">
        <v>1</v>
      </c>
      <c r="Z116" s="7">
        <v>0</v>
      </c>
      <c r="AA116" s="6"/>
      <c r="AB116" s="7"/>
      <c r="AC116" s="6">
        <v>0.95114006514657978</v>
      </c>
      <c r="AD116" s="8">
        <v>4.8859934853420196E-2</v>
      </c>
      <c r="AE116" s="6">
        <v>0.94871794871794868</v>
      </c>
      <c r="AF116" s="7">
        <v>5.128205128205128E-2</v>
      </c>
      <c r="AG116" s="6">
        <v>0.96923076923076923</v>
      </c>
      <c r="AH116" s="7">
        <v>3.0769230769230771E-2</v>
      </c>
      <c r="AI116" s="6"/>
      <c r="AJ116" s="7"/>
      <c r="AK116" s="6"/>
      <c r="AL116" s="7"/>
      <c r="AM116" s="6"/>
      <c r="AN116" s="7"/>
      <c r="AO116" s="6"/>
      <c r="AP116" s="7"/>
      <c r="AQ116" s="6">
        <v>1</v>
      </c>
      <c r="AR116" s="8">
        <v>0</v>
      </c>
      <c r="AS116" s="6"/>
      <c r="AT116" s="7"/>
      <c r="AU116" s="6"/>
      <c r="AV116" s="7"/>
      <c r="AW116" s="6" t="e">
        <v>#DIV/0!</v>
      </c>
      <c r="AX116" s="7" t="e">
        <v>#DIV/0!</v>
      </c>
      <c r="AY116" s="6">
        <v>1</v>
      </c>
      <c r="AZ116" s="7">
        <v>0</v>
      </c>
      <c r="BA116" s="6">
        <v>0.98496240601503759</v>
      </c>
      <c r="BB116" s="7">
        <v>1.5037593984962405E-2</v>
      </c>
      <c r="BC116" s="6"/>
      <c r="BD116" s="8"/>
      <c r="BE116" s="6"/>
      <c r="BF116" s="7"/>
      <c r="BG116" s="6">
        <v>1</v>
      </c>
      <c r="BH116" s="7">
        <v>0</v>
      </c>
      <c r="BI116" s="6"/>
      <c r="BJ116" s="7"/>
      <c r="BK116" s="6"/>
      <c r="BL116" s="7"/>
      <c r="BM116" s="6"/>
      <c r="BN116" s="7"/>
      <c r="BO116" s="6"/>
      <c r="BP116" s="7"/>
      <c r="BQ116" s="6">
        <v>0.96697247706422018</v>
      </c>
      <c r="BR116" s="7">
        <v>3.3027522935779818E-2</v>
      </c>
    </row>
    <row r="117" spans="1:70" s="4" customFormat="1" x14ac:dyDescent="0.25">
      <c r="A117" s="33"/>
      <c r="B117" s="34" t="s">
        <v>75</v>
      </c>
      <c r="C117" s="6"/>
      <c r="D117" s="7"/>
      <c r="E117" s="6"/>
      <c r="F117" s="7"/>
      <c r="G117" s="6">
        <v>0.93474714518760194</v>
      </c>
      <c r="H117" s="7">
        <v>6.5252854812398037E-2</v>
      </c>
      <c r="I117" s="6">
        <v>0.97135416666666663</v>
      </c>
      <c r="J117" s="8">
        <v>2.8645833333333332E-2</v>
      </c>
      <c r="K117" s="6">
        <v>1</v>
      </c>
      <c r="L117" s="7">
        <v>0</v>
      </c>
      <c r="M117" s="6">
        <v>0.98185941043083902</v>
      </c>
      <c r="N117" s="7">
        <v>1.8140589569160998E-2</v>
      </c>
      <c r="O117" s="6"/>
      <c r="P117" s="7"/>
      <c r="Q117" s="6"/>
      <c r="R117" s="7"/>
      <c r="S117" s="6"/>
      <c r="T117" s="7"/>
      <c r="U117" s="6"/>
      <c r="V117" s="8"/>
      <c r="W117" s="6"/>
      <c r="X117" s="7"/>
      <c r="Y117" s="6"/>
      <c r="Z117" s="7"/>
      <c r="AA117" s="6">
        <v>1</v>
      </c>
      <c r="AB117" s="7">
        <v>0</v>
      </c>
      <c r="AC117" s="6"/>
      <c r="AD117" s="8"/>
      <c r="AE117" s="6"/>
      <c r="AF117" s="7"/>
      <c r="AG117" s="6"/>
      <c r="AH117" s="7"/>
      <c r="AI117" s="6"/>
      <c r="AJ117" s="7"/>
      <c r="AK117" s="6"/>
      <c r="AL117" s="7"/>
      <c r="AM117" s="6"/>
      <c r="AN117" s="7"/>
      <c r="AO117" s="6"/>
      <c r="AP117" s="7"/>
      <c r="AQ117" s="6">
        <v>1</v>
      </c>
      <c r="AR117" s="8">
        <v>0</v>
      </c>
      <c r="AS117" s="6"/>
      <c r="AT117" s="7"/>
      <c r="AU117" s="6"/>
      <c r="AV117" s="7"/>
      <c r="AW117" s="6" t="e">
        <v>#DIV/0!</v>
      </c>
      <c r="AX117" s="7" t="e">
        <v>#DIV/0!</v>
      </c>
      <c r="AY117" s="6"/>
      <c r="AZ117" s="7"/>
      <c r="BA117" s="6"/>
      <c r="BB117" s="7"/>
      <c r="BC117" s="6">
        <v>1</v>
      </c>
      <c r="BD117" s="8">
        <v>0</v>
      </c>
      <c r="BE117" s="6"/>
      <c r="BF117" s="7"/>
      <c r="BG117" s="6">
        <v>0.978494623655914</v>
      </c>
      <c r="BH117" s="7">
        <v>2.1505376344086023E-2</v>
      </c>
      <c r="BI117" s="6"/>
      <c r="BJ117" s="7"/>
      <c r="BK117" s="6"/>
      <c r="BL117" s="7"/>
      <c r="BM117" s="6"/>
      <c r="BN117" s="7"/>
      <c r="BO117" s="6">
        <v>1</v>
      </c>
      <c r="BP117" s="7">
        <v>0</v>
      </c>
      <c r="BQ117" s="6">
        <v>0.96476510067114096</v>
      </c>
      <c r="BR117" s="7">
        <v>3.5234899328859058E-2</v>
      </c>
    </row>
    <row r="118" spans="1:70" s="4" customFormat="1" x14ac:dyDescent="0.25">
      <c r="A118" s="33"/>
      <c r="B118" s="34" t="s">
        <v>42</v>
      </c>
      <c r="C118" s="6"/>
      <c r="D118" s="7"/>
      <c r="E118" s="6">
        <v>0.98360655737704916</v>
      </c>
      <c r="F118" s="7">
        <v>1.6393442622950821E-2</v>
      </c>
      <c r="G118" s="6">
        <v>0.94126984126984126</v>
      </c>
      <c r="H118" s="7">
        <v>5.873015873015873E-2</v>
      </c>
      <c r="I118" s="6">
        <v>1</v>
      </c>
      <c r="J118" s="8">
        <v>0</v>
      </c>
      <c r="K118" s="6"/>
      <c r="L118" s="7"/>
      <c r="M118" s="6">
        <v>0.97142857142857142</v>
      </c>
      <c r="N118" s="7">
        <v>2.8571428571428571E-2</v>
      </c>
      <c r="O118" s="6"/>
      <c r="P118" s="7"/>
      <c r="Q118" s="6"/>
      <c r="R118" s="7"/>
      <c r="S118" s="6"/>
      <c r="T118" s="7"/>
      <c r="U118" s="6"/>
      <c r="V118" s="8"/>
      <c r="W118" s="6">
        <v>1</v>
      </c>
      <c r="X118" s="7">
        <v>0</v>
      </c>
      <c r="Y118" s="6">
        <v>1</v>
      </c>
      <c r="Z118" s="7">
        <v>0</v>
      </c>
      <c r="AA118" s="6">
        <v>0.95138888888888884</v>
      </c>
      <c r="AB118" s="7">
        <v>4.8611111111111112E-2</v>
      </c>
      <c r="AC118" s="6">
        <v>0.97685749086479901</v>
      </c>
      <c r="AD118" s="8">
        <v>2.3142509135200974E-2</v>
      </c>
      <c r="AE118" s="6">
        <v>0.97493734335839599</v>
      </c>
      <c r="AF118" s="7">
        <v>2.5062656641604009E-2</v>
      </c>
      <c r="AG118" s="6">
        <v>0.95370370370370372</v>
      </c>
      <c r="AH118" s="7">
        <v>4.6296296296296294E-2</v>
      </c>
      <c r="AI118" s="6">
        <v>0.93288590604026844</v>
      </c>
      <c r="AJ118" s="7">
        <v>6.7114093959731544E-2</v>
      </c>
      <c r="AK118" s="6">
        <v>0.96</v>
      </c>
      <c r="AL118" s="7">
        <v>0.04</v>
      </c>
      <c r="AM118" s="6">
        <v>0.96116504854368934</v>
      </c>
      <c r="AN118" s="7">
        <v>3.8834951456310676E-2</v>
      </c>
      <c r="AO118" s="6">
        <v>0.93333333333333335</v>
      </c>
      <c r="AP118" s="7">
        <v>6.6666666666666666E-2</v>
      </c>
      <c r="AQ118" s="6">
        <v>0.84615384615384615</v>
      </c>
      <c r="AR118" s="8">
        <v>0.15384615384615385</v>
      </c>
      <c r="AS118" s="6">
        <v>0.90476190476190477</v>
      </c>
      <c r="AT118" s="7">
        <v>9.5238095238095233E-2</v>
      </c>
      <c r="AU118" s="6">
        <v>0.9642857142857143</v>
      </c>
      <c r="AV118" s="7">
        <v>3.5714285714285712E-2</v>
      </c>
      <c r="AW118" s="6">
        <v>0.99047619047619051</v>
      </c>
      <c r="AX118" s="7">
        <v>9.5238095238095247E-3</v>
      </c>
      <c r="AY118" s="6">
        <v>1</v>
      </c>
      <c r="AZ118" s="7">
        <v>0</v>
      </c>
      <c r="BA118" s="6">
        <v>0.97790055248618779</v>
      </c>
      <c r="BB118" s="7">
        <v>2.2099447513812154E-2</v>
      </c>
      <c r="BC118" s="6">
        <v>1</v>
      </c>
      <c r="BD118" s="8">
        <v>0</v>
      </c>
      <c r="BE118" s="6"/>
      <c r="BF118" s="7"/>
      <c r="BG118" s="6">
        <v>0.97071129707112969</v>
      </c>
      <c r="BH118" s="7">
        <v>2.9288702928870293E-2</v>
      </c>
      <c r="BI118" s="6"/>
      <c r="BJ118" s="7"/>
      <c r="BK118" s="6"/>
      <c r="BL118" s="7"/>
      <c r="BM118" s="6">
        <v>0.96</v>
      </c>
      <c r="BN118" s="7">
        <v>0.04</v>
      </c>
      <c r="BO118" s="6">
        <v>0.98427672955974843</v>
      </c>
      <c r="BP118" s="7">
        <v>1.5723270440251572E-2</v>
      </c>
      <c r="BQ118" s="6">
        <v>0.96755533199195176</v>
      </c>
      <c r="BR118" s="7">
        <v>3.2444668008048287E-2</v>
      </c>
    </row>
    <row r="119" spans="1:70" s="4" customFormat="1" x14ac:dyDescent="0.25">
      <c r="A119" s="33"/>
      <c r="B119" s="34" t="s">
        <v>76</v>
      </c>
      <c r="C119" s="6"/>
      <c r="D119" s="7"/>
      <c r="E119" s="6">
        <v>0.88235294117647056</v>
      </c>
      <c r="F119" s="7">
        <v>0.11764705882352941</v>
      </c>
      <c r="G119" s="6">
        <v>0.95488721804511278</v>
      </c>
      <c r="H119" s="7">
        <v>4.5112781954887216E-2</v>
      </c>
      <c r="I119" s="6">
        <v>0.97740963855421692</v>
      </c>
      <c r="J119" s="8">
        <v>2.2590361445783132E-2</v>
      </c>
      <c r="K119" s="6">
        <v>0.94214876033057848</v>
      </c>
      <c r="L119" s="7">
        <v>5.7851239669421489E-2</v>
      </c>
      <c r="M119" s="6">
        <v>0.97627965043695386</v>
      </c>
      <c r="N119" s="7">
        <v>2.3720349563046191E-2</v>
      </c>
      <c r="O119" s="6">
        <v>1</v>
      </c>
      <c r="P119" s="7">
        <v>0</v>
      </c>
      <c r="Q119" s="6"/>
      <c r="R119" s="7"/>
      <c r="S119" s="6">
        <v>0.95</v>
      </c>
      <c r="T119" s="7">
        <v>0.05</v>
      </c>
      <c r="U119" s="6">
        <v>0.92</v>
      </c>
      <c r="V119" s="8">
        <v>0.08</v>
      </c>
      <c r="W119" s="6">
        <v>1</v>
      </c>
      <c r="X119" s="7">
        <v>0</v>
      </c>
      <c r="Y119" s="6"/>
      <c r="Z119" s="7"/>
      <c r="AA119" s="6">
        <v>0.98181818181818181</v>
      </c>
      <c r="AB119" s="7">
        <v>1.8181818181818181E-2</v>
      </c>
      <c r="AC119" s="6"/>
      <c r="AD119" s="8"/>
      <c r="AE119" s="6">
        <v>0.92537313432835822</v>
      </c>
      <c r="AF119" s="7">
        <v>7.4626865671641784E-2</v>
      </c>
      <c r="AG119" s="6">
        <v>1</v>
      </c>
      <c r="AH119" s="7">
        <v>0</v>
      </c>
      <c r="AI119" s="6">
        <v>0.94666666666666666</v>
      </c>
      <c r="AJ119" s="7">
        <v>5.3333333333333337E-2</v>
      </c>
      <c r="AK119" s="6"/>
      <c r="AL119" s="7"/>
      <c r="AM119" s="6">
        <v>0.9817351598173516</v>
      </c>
      <c r="AN119" s="7">
        <v>1.8264840182648401E-2</v>
      </c>
      <c r="AO119" s="6">
        <v>0.97142857142857142</v>
      </c>
      <c r="AP119" s="7">
        <v>2.8571428571428571E-2</v>
      </c>
      <c r="AQ119" s="6">
        <v>0.96296296296296291</v>
      </c>
      <c r="AR119" s="8">
        <v>3.7037037037037035E-2</v>
      </c>
      <c r="AS119" s="6">
        <v>0.94117647058823528</v>
      </c>
      <c r="AT119" s="7">
        <v>5.8823529411764705E-2</v>
      </c>
      <c r="AU119" s="6"/>
      <c r="AV119" s="7"/>
      <c r="AW119" s="6" t="e">
        <v>#DIV/0!</v>
      </c>
      <c r="AX119" s="7" t="e">
        <v>#DIV/0!</v>
      </c>
      <c r="AY119" s="6"/>
      <c r="AZ119" s="7"/>
      <c r="BA119" s="6">
        <v>0.96453900709219853</v>
      </c>
      <c r="BB119" s="7">
        <v>3.5460992907801421E-2</v>
      </c>
      <c r="BC119" s="6">
        <v>0.96296296296296291</v>
      </c>
      <c r="BD119" s="8">
        <v>3.7037037037037035E-2</v>
      </c>
      <c r="BE119" s="6">
        <v>0.90909090909090906</v>
      </c>
      <c r="BF119" s="7">
        <v>9.0909090909090912E-2</v>
      </c>
      <c r="BG119" s="6">
        <v>0.98630136986301364</v>
      </c>
      <c r="BH119" s="7">
        <v>1.3698630136986301E-2</v>
      </c>
      <c r="BI119" s="6"/>
      <c r="BJ119" s="7"/>
      <c r="BK119" s="6"/>
      <c r="BL119" s="7"/>
      <c r="BM119" s="6"/>
      <c r="BN119" s="7"/>
      <c r="BO119" s="6">
        <v>1</v>
      </c>
      <c r="BP119" s="7">
        <v>0</v>
      </c>
      <c r="BQ119" s="6">
        <v>0.97192982456140353</v>
      </c>
      <c r="BR119" s="7">
        <v>2.8070175438596492E-2</v>
      </c>
    </row>
    <row r="120" spans="1:70" s="4" customFormat="1" x14ac:dyDescent="0.25">
      <c r="A120" s="33"/>
      <c r="B120" s="34" t="s">
        <v>77</v>
      </c>
      <c r="C120" s="6"/>
      <c r="D120" s="7"/>
      <c r="E120" s="6"/>
      <c r="F120" s="7"/>
      <c r="G120" s="6">
        <v>0.96193771626297575</v>
      </c>
      <c r="H120" s="7">
        <v>3.8062283737024222E-2</v>
      </c>
      <c r="I120" s="6"/>
      <c r="J120" s="8"/>
      <c r="K120" s="6"/>
      <c r="L120" s="7"/>
      <c r="M120" s="6">
        <v>1</v>
      </c>
      <c r="N120" s="7">
        <v>0</v>
      </c>
      <c r="O120" s="6"/>
      <c r="P120" s="7"/>
      <c r="Q120" s="6"/>
      <c r="R120" s="7"/>
      <c r="S120" s="6"/>
      <c r="T120" s="7"/>
      <c r="U120" s="6"/>
      <c r="V120" s="8"/>
      <c r="W120" s="6">
        <v>0.9726027397260274</v>
      </c>
      <c r="X120" s="7">
        <v>2.7397260273972601E-2</v>
      </c>
      <c r="Y120" s="6">
        <v>0.9509803921568627</v>
      </c>
      <c r="Z120" s="7">
        <v>4.9019607843137254E-2</v>
      </c>
      <c r="AA120" s="6">
        <v>1</v>
      </c>
      <c r="AB120" s="7">
        <v>0</v>
      </c>
      <c r="AC120" s="6">
        <v>0.952914798206278</v>
      </c>
      <c r="AD120" s="8">
        <v>4.708520179372197E-2</v>
      </c>
      <c r="AE120" s="6">
        <v>0.93893129770992367</v>
      </c>
      <c r="AF120" s="7">
        <v>6.1068702290076333E-2</v>
      </c>
      <c r="AG120" s="6">
        <v>0.97560975609756095</v>
      </c>
      <c r="AH120" s="7">
        <v>2.4390243902439025E-2</v>
      </c>
      <c r="AI120" s="6">
        <v>0.92105263157894735</v>
      </c>
      <c r="AJ120" s="7">
        <v>7.8947368421052627E-2</v>
      </c>
      <c r="AK120" s="6">
        <v>0.90909090909090906</v>
      </c>
      <c r="AL120" s="7">
        <v>9.0909090909090912E-2</v>
      </c>
      <c r="AM120" s="6"/>
      <c r="AN120" s="7"/>
      <c r="AO120" s="6"/>
      <c r="AP120" s="7"/>
      <c r="AQ120" s="6"/>
      <c r="AR120" s="8"/>
      <c r="AS120" s="6"/>
      <c r="AT120" s="7"/>
      <c r="AU120" s="6">
        <v>0.97222222222222221</v>
      </c>
      <c r="AV120" s="7">
        <v>2.7777777777777776E-2</v>
      </c>
      <c r="AW120" s="6">
        <v>0.97560975609756095</v>
      </c>
      <c r="AX120" s="7">
        <v>2.4390243902439025E-2</v>
      </c>
      <c r="AY120" s="6"/>
      <c r="AZ120" s="7"/>
      <c r="BA120" s="6">
        <v>0.98305084745762716</v>
      </c>
      <c r="BB120" s="7">
        <v>1.6949152542372881E-2</v>
      </c>
      <c r="BC120" s="6">
        <v>0.91111111111111109</v>
      </c>
      <c r="BD120" s="8">
        <v>8.8888888888888892E-2</v>
      </c>
      <c r="BE120" s="6"/>
      <c r="BF120" s="7"/>
      <c r="BG120" s="6"/>
      <c r="BH120" s="7"/>
      <c r="BI120" s="6"/>
      <c r="BJ120" s="7"/>
      <c r="BK120" s="6"/>
      <c r="BL120" s="7"/>
      <c r="BM120" s="6"/>
      <c r="BN120" s="7"/>
      <c r="BO120" s="6">
        <v>0.9847560975609756</v>
      </c>
      <c r="BP120" s="7">
        <v>1.524390243902439E-2</v>
      </c>
      <c r="BQ120" s="6">
        <v>0.96289954337899542</v>
      </c>
      <c r="BR120" s="7">
        <v>3.7100456621004564E-2</v>
      </c>
    </row>
    <row r="121" spans="1:70" s="4" customFormat="1" x14ac:dyDescent="0.25">
      <c r="A121" s="33" t="s">
        <v>89</v>
      </c>
      <c r="B121" s="34" t="s">
        <v>78</v>
      </c>
      <c r="C121" s="6">
        <v>1</v>
      </c>
      <c r="D121" s="7">
        <v>0</v>
      </c>
      <c r="E121" s="6">
        <v>1</v>
      </c>
      <c r="F121" s="7">
        <v>0</v>
      </c>
      <c r="G121" s="6">
        <v>0.96798029556650245</v>
      </c>
      <c r="H121" s="7">
        <v>3.2019704433497539E-2</v>
      </c>
      <c r="I121" s="6">
        <v>0.99275362318840576</v>
      </c>
      <c r="J121" s="8">
        <v>7.246376811594203E-3</v>
      </c>
      <c r="K121" s="6">
        <v>1</v>
      </c>
      <c r="L121" s="7">
        <v>0</v>
      </c>
      <c r="M121" s="6">
        <v>0.99056603773584906</v>
      </c>
      <c r="N121" s="7">
        <v>9.433962264150943E-3</v>
      </c>
      <c r="O121" s="6">
        <v>0.96551724137931039</v>
      </c>
      <c r="P121" s="7">
        <v>3.4482758620689655E-2</v>
      </c>
      <c r="Q121" s="6"/>
      <c r="R121" s="7"/>
      <c r="S121" s="6">
        <v>0.90476190476190477</v>
      </c>
      <c r="T121" s="7">
        <v>9.5238095238095233E-2</v>
      </c>
      <c r="U121" s="6">
        <v>0.99090909090909096</v>
      </c>
      <c r="V121" s="8">
        <v>9.0909090909090905E-3</v>
      </c>
      <c r="W121" s="6">
        <v>1</v>
      </c>
      <c r="X121" s="7">
        <v>0</v>
      </c>
      <c r="Y121" s="6">
        <v>1</v>
      </c>
      <c r="Z121" s="7">
        <v>0</v>
      </c>
      <c r="AA121" s="6">
        <v>0.98453608247422686</v>
      </c>
      <c r="AB121" s="7">
        <v>1.5463917525773196E-2</v>
      </c>
      <c r="AC121" s="6">
        <v>0.92957746478873238</v>
      </c>
      <c r="AD121" s="8">
        <v>7.0422535211267609E-2</v>
      </c>
      <c r="AE121" s="6">
        <v>0.9779411764705882</v>
      </c>
      <c r="AF121" s="7">
        <v>2.2058823529411766E-2</v>
      </c>
      <c r="AG121" s="6">
        <v>1</v>
      </c>
      <c r="AH121" s="7">
        <v>0</v>
      </c>
      <c r="AI121" s="6">
        <v>1</v>
      </c>
      <c r="AJ121" s="7">
        <v>0</v>
      </c>
      <c r="AK121" s="6"/>
      <c r="AL121" s="7"/>
      <c r="AM121" s="6">
        <v>0.98692810457516345</v>
      </c>
      <c r="AN121" s="7">
        <v>1.3071895424836602E-2</v>
      </c>
      <c r="AO121" s="6">
        <v>0.90909090909090906</v>
      </c>
      <c r="AP121" s="7">
        <v>9.0909090909090912E-2</v>
      </c>
      <c r="AQ121" s="6">
        <v>0.97153700189753323</v>
      </c>
      <c r="AR121" s="8">
        <v>2.8462998102466792E-2</v>
      </c>
      <c r="AS121" s="6">
        <v>1</v>
      </c>
      <c r="AT121" s="7">
        <v>0</v>
      </c>
      <c r="AU121" s="6">
        <v>1</v>
      </c>
      <c r="AV121" s="7">
        <v>0</v>
      </c>
      <c r="AW121" s="6">
        <v>1</v>
      </c>
      <c r="AX121" s="7">
        <v>0</v>
      </c>
      <c r="AY121" s="6"/>
      <c r="AZ121" s="7"/>
      <c r="BA121" s="6"/>
      <c r="BB121" s="7"/>
      <c r="BC121" s="6">
        <v>1</v>
      </c>
      <c r="BD121" s="8">
        <v>0</v>
      </c>
      <c r="BE121" s="6"/>
      <c r="BF121" s="7"/>
      <c r="BG121" s="6">
        <v>0.96174863387978138</v>
      </c>
      <c r="BH121" s="7">
        <v>3.825136612021858E-2</v>
      </c>
      <c r="BI121" s="6"/>
      <c r="BJ121" s="7"/>
      <c r="BK121" s="6"/>
      <c r="BL121" s="7"/>
      <c r="BM121" s="6"/>
      <c r="BN121" s="7"/>
      <c r="BO121" s="6">
        <v>0.98571428571428577</v>
      </c>
      <c r="BP121" s="7">
        <v>1.4285714285714285E-2</v>
      </c>
      <c r="BQ121" s="6">
        <v>0.97672849915682969</v>
      </c>
      <c r="BR121" s="7">
        <v>2.3271500843170319E-2</v>
      </c>
    </row>
    <row r="122" spans="1:70" s="4" customFormat="1" x14ac:dyDescent="0.25">
      <c r="A122" s="33"/>
      <c r="B122" s="34" t="s">
        <v>44</v>
      </c>
      <c r="C122" s="6"/>
      <c r="D122" s="7"/>
      <c r="E122" s="6"/>
      <c r="F122" s="7"/>
      <c r="G122" s="6">
        <v>1</v>
      </c>
      <c r="H122" s="7">
        <v>0</v>
      </c>
      <c r="I122" s="6"/>
      <c r="J122" s="8"/>
      <c r="K122" s="6"/>
      <c r="L122" s="7"/>
      <c r="M122" s="6"/>
      <c r="N122" s="7"/>
      <c r="O122" s="6"/>
      <c r="P122" s="7"/>
      <c r="Q122" s="6"/>
      <c r="R122" s="7"/>
      <c r="S122" s="6"/>
      <c r="T122" s="7"/>
      <c r="U122" s="6"/>
      <c r="V122" s="8"/>
      <c r="W122" s="6"/>
      <c r="X122" s="7"/>
      <c r="Y122" s="6">
        <v>1</v>
      </c>
      <c r="Z122" s="7">
        <v>0</v>
      </c>
      <c r="AA122" s="6">
        <v>1</v>
      </c>
      <c r="AB122" s="7">
        <v>0</v>
      </c>
      <c r="AC122" s="6"/>
      <c r="AD122" s="8"/>
      <c r="AE122" s="6">
        <v>0.97692307692307689</v>
      </c>
      <c r="AF122" s="7">
        <v>2.3076923076923078E-2</v>
      </c>
      <c r="AG122" s="6">
        <v>1</v>
      </c>
      <c r="AH122" s="7">
        <v>0</v>
      </c>
      <c r="AI122" s="6"/>
      <c r="AJ122" s="7"/>
      <c r="AK122" s="6">
        <v>0.8529411764705882</v>
      </c>
      <c r="AL122" s="7">
        <v>0.14705882352941177</v>
      </c>
      <c r="AM122" s="6">
        <v>1</v>
      </c>
      <c r="AN122" s="7">
        <v>0</v>
      </c>
      <c r="AO122" s="6"/>
      <c r="AP122" s="7"/>
      <c r="AQ122" s="6"/>
      <c r="AR122" s="8"/>
      <c r="AS122" s="6"/>
      <c r="AT122" s="7"/>
      <c r="AU122" s="6">
        <v>1</v>
      </c>
      <c r="AV122" s="7">
        <v>0</v>
      </c>
      <c r="AW122" s="6">
        <v>1</v>
      </c>
      <c r="AX122" s="7">
        <v>0</v>
      </c>
      <c r="AY122" s="6">
        <v>1</v>
      </c>
      <c r="AZ122" s="7">
        <v>0</v>
      </c>
      <c r="BA122" s="6">
        <v>0.96875</v>
      </c>
      <c r="BB122" s="7">
        <v>3.125E-2</v>
      </c>
      <c r="BC122" s="6">
        <v>0.90909090909090906</v>
      </c>
      <c r="BD122" s="8">
        <v>9.0909090909090912E-2</v>
      </c>
      <c r="BE122" s="6"/>
      <c r="BF122" s="7"/>
      <c r="BG122" s="6">
        <v>0.9838709677419355</v>
      </c>
      <c r="BH122" s="7">
        <v>1.6129032258064516E-2</v>
      </c>
      <c r="BI122" s="6"/>
      <c r="BJ122" s="7"/>
      <c r="BK122" s="6"/>
      <c r="BL122" s="7"/>
      <c r="BM122" s="6"/>
      <c r="BN122" s="7"/>
      <c r="BO122" s="6">
        <v>0.98484848484848486</v>
      </c>
      <c r="BP122" s="7">
        <v>1.5151515151515152E-2</v>
      </c>
      <c r="BQ122" s="6">
        <v>0.97571428571428576</v>
      </c>
      <c r="BR122" s="7">
        <v>2.4285714285714285E-2</v>
      </c>
    </row>
    <row r="123" spans="1:70" s="4" customFormat="1" x14ac:dyDescent="0.25">
      <c r="A123" s="33"/>
      <c r="B123" s="34" t="s">
        <v>45</v>
      </c>
      <c r="C123" s="6"/>
      <c r="D123" s="7"/>
      <c r="E123" s="6"/>
      <c r="F123" s="7"/>
      <c r="G123" s="6">
        <v>1</v>
      </c>
      <c r="H123" s="7">
        <v>0</v>
      </c>
      <c r="I123" s="6"/>
      <c r="J123" s="8"/>
      <c r="K123" s="6"/>
      <c r="L123" s="7"/>
      <c r="M123" s="6">
        <v>0.97368421052631582</v>
      </c>
      <c r="N123" s="7">
        <v>2.6315789473684209E-2</v>
      </c>
      <c r="O123" s="6"/>
      <c r="P123" s="7"/>
      <c r="Q123" s="6"/>
      <c r="R123" s="7"/>
      <c r="S123" s="6"/>
      <c r="T123" s="7"/>
      <c r="U123" s="6"/>
      <c r="V123" s="8"/>
      <c r="W123" s="6"/>
      <c r="X123" s="7"/>
      <c r="Y123" s="6"/>
      <c r="Z123" s="7"/>
      <c r="AA123" s="6"/>
      <c r="AB123" s="7"/>
      <c r="AC123" s="6"/>
      <c r="AD123" s="8"/>
      <c r="AE123" s="6"/>
      <c r="AF123" s="7"/>
      <c r="AG123" s="6"/>
      <c r="AH123" s="7"/>
      <c r="AI123" s="6"/>
      <c r="AJ123" s="7"/>
      <c r="AK123" s="6"/>
      <c r="AL123" s="7"/>
      <c r="AM123" s="6"/>
      <c r="AN123" s="7"/>
      <c r="AO123" s="6"/>
      <c r="AP123" s="7"/>
      <c r="AQ123" s="6"/>
      <c r="AR123" s="8"/>
      <c r="AS123" s="6"/>
      <c r="AT123" s="7"/>
      <c r="AU123" s="6">
        <v>1</v>
      </c>
      <c r="AV123" s="7">
        <v>0</v>
      </c>
      <c r="AW123" s="6">
        <v>1</v>
      </c>
      <c r="AX123" s="7">
        <v>0</v>
      </c>
      <c r="AY123" s="6">
        <v>0.9375</v>
      </c>
      <c r="AZ123" s="7">
        <v>6.25E-2</v>
      </c>
      <c r="BA123" s="6">
        <v>0.989247311827957</v>
      </c>
      <c r="BB123" s="7">
        <v>1.0752688172043012E-2</v>
      </c>
      <c r="BC123" s="6">
        <v>0.91891891891891897</v>
      </c>
      <c r="BD123" s="8">
        <v>8.1081081081081086E-2</v>
      </c>
      <c r="BE123" s="6">
        <v>0.9</v>
      </c>
      <c r="BF123" s="7">
        <v>0.1</v>
      </c>
      <c r="BG123" s="6">
        <v>0.96703296703296704</v>
      </c>
      <c r="BH123" s="7">
        <v>3.2967032967032968E-2</v>
      </c>
      <c r="BI123" s="6"/>
      <c r="BJ123" s="7"/>
      <c r="BK123" s="6"/>
      <c r="BL123" s="7"/>
      <c r="BM123" s="6"/>
      <c r="BN123" s="7"/>
      <c r="BO123" s="6"/>
      <c r="BP123" s="7"/>
      <c r="BQ123" s="6">
        <v>0.97122302158273377</v>
      </c>
      <c r="BR123" s="7">
        <v>2.8776978417266189E-2</v>
      </c>
    </row>
    <row r="124" spans="1:70" s="4" customFormat="1" x14ac:dyDescent="0.25">
      <c r="A124" s="44"/>
      <c r="B124" s="36" t="s">
        <v>46</v>
      </c>
      <c r="C124" s="6"/>
      <c r="D124" s="7"/>
      <c r="E124" s="6">
        <v>0.91666666666666663</v>
      </c>
      <c r="F124" s="7">
        <v>8.3333333333333329E-2</v>
      </c>
      <c r="G124" s="6">
        <v>1</v>
      </c>
      <c r="H124" s="7">
        <v>0</v>
      </c>
      <c r="I124" s="6">
        <v>0.875</v>
      </c>
      <c r="J124" s="8">
        <v>0.125</v>
      </c>
      <c r="K124" s="6"/>
      <c r="L124" s="7"/>
      <c r="M124" s="6">
        <v>0.98958333333333337</v>
      </c>
      <c r="N124" s="7">
        <v>1.0416666666666666E-2</v>
      </c>
      <c r="O124" s="6">
        <v>0.9375</v>
      </c>
      <c r="P124" s="7">
        <v>6.25E-2</v>
      </c>
      <c r="Q124" s="6"/>
      <c r="R124" s="7"/>
      <c r="S124" s="6">
        <v>0.95348837209302328</v>
      </c>
      <c r="T124" s="7">
        <v>4.6511627906976744E-2</v>
      </c>
      <c r="U124" s="6">
        <v>1</v>
      </c>
      <c r="V124" s="8">
        <v>0</v>
      </c>
      <c r="W124" s="6"/>
      <c r="X124" s="7"/>
      <c r="Y124" s="6">
        <v>0.91666666666666663</v>
      </c>
      <c r="Z124" s="7">
        <v>8.3333333333333329E-2</v>
      </c>
      <c r="AA124" s="6">
        <v>1</v>
      </c>
      <c r="AB124" s="7">
        <v>0</v>
      </c>
      <c r="AC124" s="6"/>
      <c r="AD124" s="8"/>
      <c r="AE124" s="6"/>
      <c r="AF124" s="7"/>
      <c r="AG124" s="6"/>
      <c r="AH124" s="7"/>
      <c r="AI124" s="6"/>
      <c r="AJ124" s="7"/>
      <c r="AK124" s="6"/>
      <c r="AL124" s="7"/>
      <c r="AM124" s="6">
        <v>0.9538461538461539</v>
      </c>
      <c r="AN124" s="7">
        <v>4.6153846153846156E-2</v>
      </c>
      <c r="AO124" s="6">
        <v>1</v>
      </c>
      <c r="AP124" s="7">
        <v>0</v>
      </c>
      <c r="AQ124" s="6">
        <v>0.98165137614678899</v>
      </c>
      <c r="AR124" s="8">
        <v>1.834862385321101E-2</v>
      </c>
      <c r="AS124" s="6">
        <v>0.92771084337349397</v>
      </c>
      <c r="AT124" s="7">
        <v>7.2289156626506021E-2</v>
      </c>
      <c r="AU124" s="6"/>
      <c r="AV124" s="7"/>
      <c r="AW124" s="6" t="e">
        <v>#DIV/0!</v>
      </c>
      <c r="AX124" s="7" t="e">
        <v>#DIV/0!</v>
      </c>
      <c r="AY124" s="6">
        <v>1</v>
      </c>
      <c r="AZ124" s="7">
        <v>0</v>
      </c>
      <c r="BA124" s="6">
        <v>1</v>
      </c>
      <c r="BB124" s="7">
        <v>0</v>
      </c>
      <c r="BC124" s="6">
        <v>0.95</v>
      </c>
      <c r="BD124" s="8">
        <v>0.05</v>
      </c>
      <c r="BE124" s="6"/>
      <c r="BF124" s="7"/>
      <c r="BG124" s="6"/>
      <c r="BH124" s="7"/>
      <c r="BI124" s="6"/>
      <c r="BJ124" s="7"/>
      <c r="BK124" s="6"/>
      <c r="BL124" s="7"/>
      <c r="BM124" s="6">
        <v>1</v>
      </c>
      <c r="BN124" s="7">
        <v>0</v>
      </c>
      <c r="BO124" s="6"/>
      <c r="BP124" s="7"/>
      <c r="BQ124" s="6">
        <v>0.96697490092470273</v>
      </c>
      <c r="BR124" s="7">
        <v>3.3025099075297229E-2</v>
      </c>
    </row>
    <row r="125" spans="1:70" s="4" customFormat="1" x14ac:dyDescent="0.25">
      <c r="A125" s="33"/>
      <c r="B125" s="43" t="s">
        <v>47</v>
      </c>
      <c r="C125" s="6"/>
      <c r="D125" s="7"/>
      <c r="E125" s="6"/>
      <c r="F125" s="7"/>
      <c r="G125" s="6"/>
      <c r="H125" s="7"/>
      <c r="I125" s="6"/>
      <c r="J125" s="8"/>
      <c r="K125" s="6"/>
      <c r="L125" s="7"/>
      <c r="M125" s="6"/>
      <c r="N125" s="7"/>
      <c r="O125" s="6"/>
      <c r="P125" s="7"/>
      <c r="Q125" s="6"/>
      <c r="R125" s="7"/>
      <c r="S125" s="6"/>
      <c r="T125" s="7"/>
      <c r="U125" s="6"/>
      <c r="V125" s="8"/>
      <c r="W125" s="6"/>
      <c r="X125" s="7"/>
      <c r="Y125" s="6">
        <v>0.8928571428571429</v>
      </c>
      <c r="Z125" s="7">
        <v>0.10714285714285714</v>
      </c>
      <c r="AA125" s="6"/>
      <c r="AB125" s="7"/>
      <c r="AC125" s="6"/>
      <c r="AD125" s="8"/>
      <c r="AE125" s="6">
        <v>0.93103448275862066</v>
      </c>
      <c r="AF125" s="7">
        <v>6.8965517241379309E-2</v>
      </c>
      <c r="AG125" s="6">
        <v>0.8</v>
      </c>
      <c r="AH125" s="7">
        <v>0.2</v>
      </c>
      <c r="AI125" s="6"/>
      <c r="AJ125" s="7"/>
      <c r="AK125" s="6">
        <v>0.88235294117647056</v>
      </c>
      <c r="AL125" s="7">
        <v>0.11764705882352941</v>
      </c>
      <c r="AM125" s="6">
        <v>1</v>
      </c>
      <c r="AN125" s="7">
        <v>0</v>
      </c>
      <c r="AO125" s="6"/>
      <c r="AP125" s="7"/>
      <c r="AQ125" s="6">
        <v>0.96875</v>
      </c>
      <c r="AR125" s="8">
        <v>3.125E-2</v>
      </c>
      <c r="AS125" s="6">
        <v>1</v>
      </c>
      <c r="AT125" s="7">
        <v>0</v>
      </c>
      <c r="AU125" s="6">
        <v>1</v>
      </c>
      <c r="AV125" s="7">
        <v>0</v>
      </c>
      <c r="AW125" s="6" t="e">
        <v>#DIV/0!</v>
      </c>
      <c r="AX125" s="7" t="e">
        <v>#DIV/0!</v>
      </c>
      <c r="AY125" s="6">
        <v>0.97368421052631582</v>
      </c>
      <c r="AZ125" s="7">
        <v>2.6315789473684209E-2</v>
      </c>
      <c r="BA125" s="6"/>
      <c r="BB125" s="7"/>
      <c r="BC125" s="6"/>
      <c r="BD125" s="8"/>
      <c r="BE125" s="6"/>
      <c r="BF125" s="7"/>
      <c r="BG125" s="6"/>
      <c r="BH125" s="7"/>
      <c r="BI125" s="6"/>
      <c r="BJ125" s="7"/>
      <c r="BK125" s="6"/>
      <c r="BL125" s="7"/>
      <c r="BM125" s="6"/>
      <c r="BN125" s="7"/>
      <c r="BO125" s="6"/>
      <c r="BP125" s="7"/>
      <c r="BQ125" s="6">
        <v>0.94782608695652171</v>
      </c>
      <c r="BR125" s="7">
        <v>5.2173913043478258E-2</v>
      </c>
    </row>
    <row r="126" spans="1:70" s="4" customFormat="1" x14ac:dyDescent="0.25">
      <c r="A126" s="33" t="s">
        <v>90</v>
      </c>
      <c r="B126" s="43" t="s">
        <v>79</v>
      </c>
      <c r="C126" s="6"/>
      <c r="D126" s="7"/>
      <c r="E126" s="6"/>
      <c r="F126" s="7"/>
      <c r="G126" s="6">
        <v>1</v>
      </c>
      <c r="H126" s="7">
        <v>0</v>
      </c>
      <c r="I126" s="6">
        <v>0.90909090909090906</v>
      </c>
      <c r="J126" s="8">
        <v>9.0909090909090912E-2</v>
      </c>
      <c r="K126" s="6">
        <v>1</v>
      </c>
      <c r="L126" s="7">
        <v>0</v>
      </c>
      <c r="M126" s="6">
        <v>1</v>
      </c>
      <c r="N126" s="7">
        <v>0</v>
      </c>
      <c r="O126" s="6">
        <v>1</v>
      </c>
      <c r="P126" s="7">
        <v>0</v>
      </c>
      <c r="Q126" s="6"/>
      <c r="R126" s="7"/>
      <c r="S126" s="6"/>
      <c r="T126" s="7"/>
      <c r="U126" s="6">
        <v>0.91428571428571426</v>
      </c>
      <c r="V126" s="8">
        <v>8.5714285714285715E-2</v>
      </c>
      <c r="W126" s="6"/>
      <c r="X126" s="7"/>
      <c r="Y126" s="6"/>
      <c r="Z126" s="7"/>
      <c r="AA126" s="6"/>
      <c r="AB126" s="7"/>
      <c r="AC126" s="6"/>
      <c r="AD126" s="8"/>
      <c r="AE126" s="6"/>
      <c r="AF126" s="7"/>
      <c r="AG126" s="6"/>
      <c r="AH126" s="7"/>
      <c r="AI126" s="6"/>
      <c r="AJ126" s="7"/>
      <c r="AK126" s="6"/>
      <c r="AL126" s="7"/>
      <c r="AM126" s="6"/>
      <c r="AN126" s="7"/>
      <c r="AO126" s="6"/>
      <c r="AP126" s="7"/>
      <c r="AQ126" s="6"/>
      <c r="AR126" s="8"/>
      <c r="AS126" s="6"/>
      <c r="AT126" s="7"/>
      <c r="AU126" s="6"/>
      <c r="AV126" s="7"/>
      <c r="AW126" s="6" t="e">
        <v>#DIV/0!</v>
      </c>
      <c r="AX126" s="7" t="e">
        <v>#DIV/0!</v>
      </c>
      <c r="AY126" s="6"/>
      <c r="AZ126" s="7"/>
      <c r="BA126" s="6">
        <v>1</v>
      </c>
      <c r="BB126" s="7">
        <v>0</v>
      </c>
      <c r="BC126" s="6">
        <v>0.9</v>
      </c>
      <c r="BD126" s="8">
        <v>0.1</v>
      </c>
      <c r="BE126" s="6"/>
      <c r="BF126" s="7"/>
      <c r="BG126" s="6"/>
      <c r="BH126" s="7"/>
      <c r="BI126" s="6"/>
      <c r="BJ126" s="7"/>
      <c r="BK126" s="6"/>
      <c r="BL126" s="7"/>
      <c r="BM126" s="6"/>
      <c r="BN126" s="7"/>
      <c r="BO126" s="6">
        <v>1</v>
      </c>
      <c r="BP126" s="7">
        <v>0</v>
      </c>
      <c r="BQ126" s="6">
        <v>0.96835443037974689</v>
      </c>
      <c r="BR126" s="7">
        <v>3.1645569620253167E-2</v>
      </c>
    </row>
    <row r="127" spans="1:70" s="4" customFormat="1" x14ac:dyDescent="0.25">
      <c r="A127" s="33"/>
      <c r="B127" s="43" t="s">
        <v>80</v>
      </c>
      <c r="C127" s="6"/>
      <c r="D127" s="7"/>
      <c r="E127" s="6"/>
      <c r="F127" s="7"/>
      <c r="G127" s="6"/>
      <c r="H127" s="7"/>
      <c r="I127" s="6">
        <v>1</v>
      </c>
      <c r="J127" s="8">
        <v>0</v>
      </c>
      <c r="K127" s="6"/>
      <c r="L127" s="7"/>
      <c r="M127" s="6">
        <v>0.90909090909090906</v>
      </c>
      <c r="N127" s="7">
        <v>9.0909090909090912E-2</v>
      </c>
      <c r="O127" s="6"/>
      <c r="P127" s="7"/>
      <c r="Q127" s="6"/>
      <c r="R127" s="7"/>
      <c r="S127" s="6"/>
      <c r="T127" s="7"/>
      <c r="U127" s="6"/>
      <c r="V127" s="8"/>
      <c r="W127" s="6"/>
      <c r="X127" s="7"/>
      <c r="Y127" s="6"/>
      <c r="Z127" s="7"/>
      <c r="AA127" s="6"/>
      <c r="AB127" s="7"/>
      <c r="AC127" s="6"/>
      <c r="AD127" s="8"/>
      <c r="AE127" s="6"/>
      <c r="AF127" s="7"/>
      <c r="AG127" s="6"/>
      <c r="AH127" s="7"/>
      <c r="AI127" s="6"/>
      <c r="AJ127" s="7"/>
      <c r="AK127" s="6"/>
      <c r="AL127" s="7"/>
      <c r="AM127" s="6"/>
      <c r="AN127" s="7"/>
      <c r="AO127" s="6"/>
      <c r="AP127" s="7"/>
      <c r="AQ127" s="6">
        <v>1</v>
      </c>
      <c r="AR127" s="8">
        <v>0</v>
      </c>
      <c r="AS127" s="6"/>
      <c r="AT127" s="7"/>
      <c r="AU127" s="6"/>
      <c r="AV127" s="7"/>
      <c r="AW127" s="6" t="e">
        <v>#DIV/0!</v>
      </c>
      <c r="AX127" s="7" t="e">
        <v>#DIV/0!</v>
      </c>
      <c r="AY127" s="6"/>
      <c r="AZ127" s="7"/>
      <c r="BA127" s="6"/>
      <c r="BB127" s="7"/>
      <c r="BC127" s="6"/>
      <c r="BD127" s="8"/>
      <c r="BE127" s="6"/>
      <c r="BF127" s="7"/>
      <c r="BG127" s="6"/>
      <c r="BH127" s="7"/>
      <c r="BI127" s="6"/>
      <c r="BJ127" s="7"/>
      <c r="BK127" s="6"/>
      <c r="BL127" s="7"/>
      <c r="BM127" s="6"/>
      <c r="BN127" s="7"/>
      <c r="BO127" s="6"/>
      <c r="BP127" s="7"/>
      <c r="BQ127" s="6">
        <v>0.97435897435897434</v>
      </c>
      <c r="BR127" s="7">
        <v>2.564102564102564E-2</v>
      </c>
    </row>
    <row r="128" spans="1:70" s="4" customFormat="1" x14ac:dyDescent="0.25">
      <c r="A128" s="33"/>
      <c r="B128" s="43" t="s">
        <v>81</v>
      </c>
      <c r="C128" s="6"/>
      <c r="D128" s="7"/>
      <c r="E128" s="6"/>
      <c r="F128" s="7"/>
      <c r="G128" s="6"/>
      <c r="H128" s="7"/>
      <c r="I128" s="6"/>
      <c r="J128" s="8"/>
      <c r="K128" s="6"/>
      <c r="L128" s="7"/>
      <c r="M128" s="6">
        <v>1</v>
      </c>
      <c r="N128" s="7">
        <v>0</v>
      </c>
      <c r="O128" s="6"/>
      <c r="P128" s="7"/>
      <c r="Q128" s="6"/>
      <c r="R128" s="7"/>
      <c r="S128" s="6"/>
      <c r="T128" s="7"/>
      <c r="U128" s="6"/>
      <c r="V128" s="8"/>
      <c r="W128" s="6"/>
      <c r="X128" s="7"/>
      <c r="Y128" s="6"/>
      <c r="Z128" s="7"/>
      <c r="AA128" s="6"/>
      <c r="AB128" s="7"/>
      <c r="AC128" s="6"/>
      <c r="AD128" s="8"/>
      <c r="AE128" s="6"/>
      <c r="AF128" s="7"/>
      <c r="AG128" s="6"/>
      <c r="AH128" s="7"/>
      <c r="AI128" s="6"/>
      <c r="AJ128" s="7"/>
      <c r="AK128" s="6"/>
      <c r="AL128" s="7"/>
      <c r="AM128" s="6"/>
      <c r="AN128" s="7"/>
      <c r="AO128" s="6"/>
      <c r="AP128" s="7"/>
      <c r="AQ128" s="6"/>
      <c r="AR128" s="8"/>
      <c r="AS128" s="6"/>
      <c r="AT128" s="7"/>
      <c r="AU128" s="6"/>
      <c r="AV128" s="7"/>
      <c r="AW128" s="6" t="e">
        <v>#DIV/0!</v>
      </c>
      <c r="AX128" s="7" t="e">
        <v>#DIV/0!</v>
      </c>
      <c r="AY128" s="6"/>
      <c r="AZ128" s="7"/>
      <c r="BA128" s="6"/>
      <c r="BB128" s="7"/>
      <c r="BC128" s="6">
        <v>1</v>
      </c>
      <c r="BD128" s="8">
        <v>0</v>
      </c>
      <c r="BE128" s="6"/>
      <c r="BF128" s="7"/>
      <c r="BG128" s="6"/>
      <c r="BH128" s="7"/>
      <c r="BI128" s="6"/>
      <c r="BJ128" s="7"/>
      <c r="BK128" s="6"/>
      <c r="BL128" s="7"/>
      <c r="BM128" s="6"/>
      <c r="BN128" s="7"/>
      <c r="BO128" s="6"/>
      <c r="BP128" s="7"/>
      <c r="BQ128" s="6">
        <v>1</v>
      </c>
      <c r="BR128" s="7">
        <v>0</v>
      </c>
    </row>
    <row r="129" spans="1:70" s="4" customFormat="1" ht="15.75" thickBot="1" x14ac:dyDescent="0.3">
      <c r="A129" s="33"/>
      <c r="B129" s="34" t="s">
        <v>91</v>
      </c>
      <c r="C129" s="6"/>
      <c r="D129" s="7"/>
      <c r="E129" s="6"/>
      <c r="F129" s="7"/>
      <c r="G129" s="6"/>
      <c r="H129" s="7"/>
      <c r="I129" s="6"/>
      <c r="J129" s="8"/>
      <c r="K129" s="6"/>
      <c r="L129" s="7"/>
      <c r="M129" s="6"/>
      <c r="N129" s="7"/>
      <c r="O129" s="6"/>
      <c r="P129" s="7"/>
      <c r="Q129" s="6"/>
      <c r="R129" s="7"/>
      <c r="S129" s="6"/>
      <c r="T129" s="7"/>
      <c r="U129" s="6"/>
      <c r="V129" s="8"/>
      <c r="W129" s="6"/>
      <c r="X129" s="7"/>
      <c r="Y129" s="6"/>
      <c r="Z129" s="7"/>
      <c r="AA129" s="6"/>
      <c r="AB129" s="7"/>
      <c r="AC129" s="6"/>
      <c r="AD129" s="8"/>
      <c r="AE129" s="6"/>
      <c r="AF129" s="7"/>
      <c r="AG129" s="6"/>
      <c r="AH129" s="7"/>
      <c r="AI129" s="6"/>
      <c r="AJ129" s="7"/>
      <c r="AK129" s="6"/>
      <c r="AL129" s="7"/>
      <c r="AM129" s="6"/>
      <c r="AN129" s="7"/>
      <c r="AO129" s="6"/>
      <c r="AP129" s="7"/>
      <c r="AQ129" s="6"/>
      <c r="AR129" s="8"/>
      <c r="AS129" s="6"/>
      <c r="AT129" s="7"/>
      <c r="AU129" s="6"/>
      <c r="AV129" s="7"/>
      <c r="AW129" s="6" t="e">
        <v>#DIV/0!</v>
      </c>
      <c r="AX129" s="7" t="e">
        <v>#DIV/0!</v>
      </c>
      <c r="AY129" s="6"/>
      <c r="AZ129" s="7"/>
      <c r="BA129" s="6"/>
      <c r="BB129" s="7"/>
      <c r="BC129" s="6"/>
      <c r="BD129" s="8"/>
      <c r="BE129" s="6"/>
      <c r="BF129" s="7"/>
      <c r="BG129" s="6"/>
      <c r="BH129" s="7"/>
      <c r="BI129" s="6"/>
      <c r="BJ129" s="7"/>
      <c r="BK129" s="6"/>
      <c r="BL129" s="7"/>
      <c r="BM129" s="6"/>
      <c r="BN129" s="7"/>
      <c r="BO129" s="6"/>
      <c r="BP129" s="7"/>
      <c r="BQ129" s="6">
        <v>0</v>
      </c>
      <c r="BR129" s="7">
        <v>0</v>
      </c>
    </row>
    <row r="130" spans="1:70" s="4" customFormat="1" ht="15.75" thickBot="1" x14ac:dyDescent="0.3">
      <c r="A130" s="99" t="s">
        <v>0</v>
      </c>
      <c r="B130" s="100"/>
      <c r="C130" s="48">
        <v>1</v>
      </c>
      <c r="D130" s="49">
        <v>0</v>
      </c>
      <c r="E130" s="48">
        <v>0.96</v>
      </c>
      <c r="F130" s="49">
        <v>0.04</v>
      </c>
      <c r="G130" s="48">
        <v>0.95136363636363641</v>
      </c>
      <c r="H130" s="49">
        <v>4.8636363636363637E-2</v>
      </c>
      <c r="I130" s="48">
        <v>0.97459584295612012</v>
      </c>
      <c r="J130" s="50">
        <v>2.5404157043879907E-2</v>
      </c>
      <c r="K130" s="48">
        <v>0.9606741573033708</v>
      </c>
      <c r="L130" s="49">
        <v>3.9325842696629212E-2</v>
      </c>
      <c r="M130" s="48">
        <v>0.98088842975206614</v>
      </c>
      <c r="N130" s="49">
        <v>1.9111570247933883E-2</v>
      </c>
      <c r="O130" s="48">
        <v>0.96511627906976749</v>
      </c>
      <c r="P130" s="49">
        <v>3.4883720930232558E-2</v>
      </c>
      <c r="Q130" s="48">
        <v>0</v>
      </c>
      <c r="R130" s="49">
        <v>0</v>
      </c>
      <c r="S130" s="48">
        <v>0.93793103448275861</v>
      </c>
      <c r="T130" s="49">
        <v>6.2068965517241378E-2</v>
      </c>
      <c r="U130" s="48">
        <v>0.96444444444444444</v>
      </c>
      <c r="V130" s="50">
        <v>3.5555555555555556E-2</v>
      </c>
      <c r="W130" s="48">
        <v>0.99239543726235746</v>
      </c>
      <c r="X130" s="49">
        <v>7.6045627376425855E-3</v>
      </c>
      <c r="Y130" s="48">
        <v>0.9569377990430622</v>
      </c>
      <c r="Z130" s="49">
        <v>4.3062200956937802E-2</v>
      </c>
      <c r="AA130" s="48">
        <v>0.97810218978102192</v>
      </c>
      <c r="AB130" s="49">
        <v>2.1897810218978103E-2</v>
      </c>
      <c r="AC130" s="48">
        <v>0.96157786885245899</v>
      </c>
      <c r="AD130" s="50">
        <v>3.8422131147540985E-2</v>
      </c>
      <c r="AE130" s="48">
        <v>0.96606974552309144</v>
      </c>
      <c r="AF130" s="49">
        <v>3.3930254476908575E-2</v>
      </c>
      <c r="AG130" s="48">
        <v>0.97175141242937857</v>
      </c>
      <c r="AH130" s="49">
        <v>2.8248587570621469E-2</v>
      </c>
      <c r="AI130" s="48">
        <v>0.9375</v>
      </c>
      <c r="AJ130" s="49">
        <v>6.25E-2</v>
      </c>
      <c r="AK130" s="48">
        <v>0.89655172413793105</v>
      </c>
      <c r="AL130" s="49">
        <v>0.10344827586206896</v>
      </c>
      <c r="AM130" s="48">
        <v>0.97451274362818596</v>
      </c>
      <c r="AN130" s="49">
        <v>2.5487256371814093E-2</v>
      </c>
      <c r="AO130" s="48">
        <v>0.96842105263157896</v>
      </c>
      <c r="AP130" s="49">
        <v>3.1578947368421054E-2</v>
      </c>
      <c r="AQ130" s="48">
        <v>0.97407407407407409</v>
      </c>
      <c r="AR130" s="50">
        <v>2.5925925925925925E-2</v>
      </c>
      <c r="AS130" s="48">
        <v>0.94339622641509435</v>
      </c>
      <c r="AT130" s="49">
        <v>5.6603773584905662E-2</v>
      </c>
      <c r="AU130" s="48">
        <v>0.98222222222222222</v>
      </c>
      <c r="AV130" s="49">
        <v>1.7777777777777778E-2</v>
      </c>
      <c r="AW130" s="48">
        <v>0.98775510204081629</v>
      </c>
      <c r="AX130" s="49">
        <v>1.2244897959183673E-2</v>
      </c>
      <c r="AY130" s="48">
        <v>0.98461538461538467</v>
      </c>
      <c r="AZ130" s="49">
        <v>1.5384615384615385E-2</v>
      </c>
      <c r="BA130" s="48">
        <v>0.97967479674796742</v>
      </c>
      <c r="BB130" s="49">
        <v>2.032520325203252E-2</v>
      </c>
      <c r="BC130" s="48">
        <v>0.95220588235294112</v>
      </c>
      <c r="BD130" s="50">
        <v>4.779411764705882E-2</v>
      </c>
      <c r="BE130" s="48">
        <v>0.90476190476190477</v>
      </c>
      <c r="BF130" s="49">
        <v>9.5238095238095233E-2</v>
      </c>
      <c r="BG130" s="48">
        <v>0.97463489623366639</v>
      </c>
      <c r="BH130" s="49">
        <v>2.536510376633359E-2</v>
      </c>
      <c r="BI130" s="48">
        <v>0</v>
      </c>
      <c r="BJ130" s="49">
        <v>0</v>
      </c>
      <c r="BK130" s="48">
        <v>0</v>
      </c>
      <c r="BL130" s="49">
        <v>0</v>
      </c>
      <c r="BM130" s="48">
        <v>0.98</v>
      </c>
      <c r="BN130" s="49">
        <v>0.02</v>
      </c>
      <c r="BO130" s="48">
        <v>0.98579545454545459</v>
      </c>
      <c r="BP130" s="49">
        <v>1.4204545454545454E-2</v>
      </c>
      <c r="BQ130" s="48">
        <v>0.96934820904286556</v>
      </c>
      <c r="BR130" s="49">
        <v>3.0651790957134467E-2</v>
      </c>
    </row>
    <row r="131" spans="1:70" s="4" customFormat="1" x14ac:dyDescent="0.25"/>
    <row r="132" spans="1:70" s="4" customFormat="1" x14ac:dyDescent="0.25"/>
    <row r="133" spans="1:70" s="4" customFormat="1" x14ac:dyDescent="0.25"/>
    <row r="134" spans="1:70" s="4" customFormat="1" x14ac:dyDescent="0.25"/>
    <row r="135" spans="1:70" s="4" customFormat="1" x14ac:dyDescent="0.25"/>
    <row r="136" spans="1:70" s="4" customFormat="1" x14ac:dyDescent="0.25"/>
    <row r="137" spans="1:70" s="4" customFormat="1" x14ac:dyDescent="0.25"/>
    <row r="138" spans="1:70" s="4" customFormat="1" x14ac:dyDescent="0.25"/>
    <row r="139" spans="1:70" s="4" customFormat="1" x14ac:dyDescent="0.25"/>
    <row r="140" spans="1:70" s="4" customFormat="1" x14ac:dyDescent="0.25"/>
    <row r="141" spans="1:70" s="4" customFormat="1" x14ac:dyDescent="0.25"/>
    <row r="142" spans="1:70" s="4" customFormat="1" x14ac:dyDescent="0.25"/>
    <row r="143" spans="1:70" s="4" customFormat="1" x14ac:dyDescent="0.25"/>
    <row r="144" spans="1:70" s="4" customFormat="1" x14ac:dyDescent="0.25"/>
    <row r="145" s="4" customFormat="1" x14ac:dyDescent="0.25"/>
    <row r="146" s="4" customFormat="1" x14ac:dyDescent="0.25"/>
    <row r="147" s="4" customFormat="1" x14ac:dyDescent="0.25"/>
    <row r="148" s="4" customFormat="1" x14ac:dyDescent="0.25"/>
    <row r="149" s="4" customFormat="1" x14ac:dyDescent="0.25"/>
    <row r="150" s="4" customFormat="1" x14ac:dyDescent="0.25"/>
    <row r="151" s="4" customFormat="1" x14ac:dyDescent="0.25"/>
    <row r="152" s="4" customFormat="1" x14ac:dyDescent="0.25"/>
    <row r="153" s="4" customFormat="1" x14ac:dyDescent="0.25"/>
    <row r="154" s="4" customFormat="1" x14ac:dyDescent="0.25"/>
    <row r="155" s="4" customFormat="1" x14ac:dyDescent="0.25"/>
    <row r="156" s="4" customFormat="1" x14ac:dyDescent="0.25"/>
    <row r="157" s="4" customFormat="1" x14ac:dyDescent="0.25"/>
    <row r="158" s="4" customFormat="1" x14ac:dyDescent="0.25"/>
  </sheetData>
  <mergeCells count="1373">
    <mergeCell ref="BO86:BP86"/>
    <mergeCell ref="BO87:BP87"/>
    <mergeCell ref="BO88:BP88"/>
    <mergeCell ref="BO80:BP80"/>
    <mergeCell ref="BO81:BP81"/>
    <mergeCell ref="BO82:BP82"/>
    <mergeCell ref="BO83:BP83"/>
    <mergeCell ref="BO84:BP84"/>
    <mergeCell ref="BO85:BP85"/>
    <mergeCell ref="BM86:BN86"/>
    <mergeCell ref="BM87:BN87"/>
    <mergeCell ref="BM88:BN88"/>
    <mergeCell ref="BO73:BP73"/>
    <mergeCell ref="BO74:BP74"/>
    <mergeCell ref="BO75:BP75"/>
    <mergeCell ref="BO76:BP76"/>
    <mergeCell ref="BO77:BP77"/>
    <mergeCell ref="BO78:BP78"/>
    <mergeCell ref="BO79:BP79"/>
    <mergeCell ref="BM80:BN80"/>
    <mergeCell ref="BM81:BN81"/>
    <mergeCell ref="BM82:BN82"/>
    <mergeCell ref="BM83:BN83"/>
    <mergeCell ref="BM84:BN84"/>
    <mergeCell ref="BM85:BN85"/>
    <mergeCell ref="BK86:BL86"/>
    <mergeCell ref="BK87:BL87"/>
    <mergeCell ref="BK88:BL88"/>
    <mergeCell ref="BM73:BN73"/>
    <mergeCell ref="BM74:BN74"/>
    <mergeCell ref="BM75:BN75"/>
    <mergeCell ref="BM76:BN76"/>
    <mergeCell ref="BM77:BN77"/>
    <mergeCell ref="BM78:BN78"/>
    <mergeCell ref="BM79:BN79"/>
    <mergeCell ref="BK80:BL80"/>
    <mergeCell ref="BK81:BL81"/>
    <mergeCell ref="BK82:BL82"/>
    <mergeCell ref="BK83:BL83"/>
    <mergeCell ref="BK84:BL84"/>
    <mergeCell ref="BK85:BL85"/>
    <mergeCell ref="BI86:BJ86"/>
    <mergeCell ref="BI87:BJ87"/>
    <mergeCell ref="BI88:BJ88"/>
    <mergeCell ref="BK73:BL73"/>
    <mergeCell ref="BK74:BL74"/>
    <mergeCell ref="BK75:BL75"/>
    <mergeCell ref="BK76:BL76"/>
    <mergeCell ref="BK77:BL77"/>
    <mergeCell ref="BK78:BL78"/>
    <mergeCell ref="BK79:BL79"/>
    <mergeCell ref="BI80:BJ80"/>
    <mergeCell ref="BI81:BJ81"/>
    <mergeCell ref="BI82:BJ82"/>
    <mergeCell ref="BI83:BJ83"/>
    <mergeCell ref="BI84:BJ84"/>
    <mergeCell ref="BI85:BJ85"/>
    <mergeCell ref="BG86:BH86"/>
    <mergeCell ref="BG87:BH87"/>
    <mergeCell ref="BG88:BH88"/>
    <mergeCell ref="BI73:BJ73"/>
    <mergeCell ref="BI74:BJ74"/>
    <mergeCell ref="BI75:BJ75"/>
    <mergeCell ref="BI76:BJ76"/>
    <mergeCell ref="BI77:BJ77"/>
    <mergeCell ref="BI78:BJ78"/>
    <mergeCell ref="BI79:BJ79"/>
    <mergeCell ref="BG80:BH80"/>
    <mergeCell ref="BG81:BH81"/>
    <mergeCell ref="BG82:BH82"/>
    <mergeCell ref="BG83:BH83"/>
    <mergeCell ref="BG84:BH84"/>
    <mergeCell ref="BG85:BH85"/>
    <mergeCell ref="BE86:BF86"/>
    <mergeCell ref="BE87:BF87"/>
    <mergeCell ref="BE88:BF88"/>
    <mergeCell ref="BG73:BH73"/>
    <mergeCell ref="BG74:BH74"/>
    <mergeCell ref="BG75:BH75"/>
    <mergeCell ref="BG76:BH76"/>
    <mergeCell ref="BG77:BH77"/>
    <mergeCell ref="BG78:BH78"/>
    <mergeCell ref="BG79:BH79"/>
    <mergeCell ref="BE80:BF80"/>
    <mergeCell ref="BE81:BF81"/>
    <mergeCell ref="BE82:BF82"/>
    <mergeCell ref="BE83:BF83"/>
    <mergeCell ref="BE84:BF84"/>
    <mergeCell ref="BE85:BF85"/>
    <mergeCell ref="BC86:BD86"/>
    <mergeCell ref="BC87:BD87"/>
    <mergeCell ref="BC88:BD88"/>
    <mergeCell ref="BE73:BF73"/>
    <mergeCell ref="BE74:BF74"/>
    <mergeCell ref="BE75:BF75"/>
    <mergeCell ref="BE76:BF76"/>
    <mergeCell ref="BE77:BF77"/>
    <mergeCell ref="BE78:BF78"/>
    <mergeCell ref="BE79:BF79"/>
    <mergeCell ref="BC80:BD80"/>
    <mergeCell ref="BC81:BD81"/>
    <mergeCell ref="BC82:BD82"/>
    <mergeCell ref="BC83:BD83"/>
    <mergeCell ref="BC84:BD84"/>
    <mergeCell ref="BC85:BD85"/>
    <mergeCell ref="BA86:BB86"/>
    <mergeCell ref="BA87:BB87"/>
    <mergeCell ref="BA88:BB88"/>
    <mergeCell ref="BC73:BD73"/>
    <mergeCell ref="BC74:BD74"/>
    <mergeCell ref="BC75:BD75"/>
    <mergeCell ref="BC76:BD76"/>
    <mergeCell ref="BC77:BD77"/>
    <mergeCell ref="BC78:BD78"/>
    <mergeCell ref="BC79:BD79"/>
    <mergeCell ref="BA80:BB80"/>
    <mergeCell ref="BA81:BB81"/>
    <mergeCell ref="BA82:BB82"/>
    <mergeCell ref="BA83:BB83"/>
    <mergeCell ref="BA84:BB84"/>
    <mergeCell ref="BA85:BB85"/>
    <mergeCell ref="AY86:AZ86"/>
    <mergeCell ref="AY87:AZ87"/>
    <mergeCell ref="AY88:AZ88"/>
    <mergeCell ref="BA73:BB73"/>
    <mergeCell ref="BA74:BB74"/>
    <mergeCell ref="BA75:BB75"/>
    <mergeCell ref="BA76:BB76"/>
    <mergeCell ref="BA77:BB77"/>
    <mergeCell ref="BA78:BB78"/>
    <mergeCell ref="BA79:BB79"/>
    <mergeCell ref="AY80:AZ80"/>
    <mergeCell ref="AY81:AZ81"/>
    <mergeCell ref="AY82:AZ82"/>
    <mergeCell ref="AY83:AZ83"/>
    <mergeCell ref="AY84:AZ84"/>
    <mergeCell ref="AY85:AZ85"/>
    <mergeCell ref="AW86:AX86"/>
    <mergeCell ref="AW87:AX87"/>
    <mergeCell ref="AW88:AX88"/>
    <mergeCell ref="AY73:AZ73"/>
    <mergeCell ref="AY74:AZ74"/>
    <mergeCell ref="AY75:AZ75"/>
    <mergeCell ref="AY76:AZ76"/>
    <mergeCell ref="AY77:AZ77"/>
    <mergeCell ref="AY78:AZ78"/>
    <mergeCell ref="AY79:AZ79"/>
    <mergeCell ref="AW80:AX80"/>
    <mergeCell ref="AW81:AX81"/>
    <mergeCell ref="AW82:AX82"/>
    <mergeCell ref="AW83:AX83"/>
    <mergeCell ref="AW84:AX84"/>
    <mergeCell ref="AW85:AX85"/>
    <mergeCell ref="AU86:AV86"/>
    <mergeCell ref="AU87:AV87"/>
    <mergeCell ref="AU88:AV88"/>
    <mergeCell ref="AW73:AX73"/>
    <mergeCell ref="AW74:AX74"/>
    <mergeCell ref="AW75:AX75"/>
    <mergeCell ref="AW76:AX76"/>
    <mergeCell ref="AW77:AX77"/>
    <mergeCell ref="AW78:AX78"/>
    <mergeCell ref="AW79:AX79"/>
    <mergeCell ref="AU80:AV80"/>
    <mergeCell ref="AU81:AV81"/>
    <mergeCell ref="AU82:AV82"/>
    <mergeCell ref="AU83:AV83"/>
    <mergeCell ref="AU84:AV84"/>
    <mergeCell ref="AU85:AV85"/>
    <mergeCell ref="AS86:AT86"/>
    <mergeCell ref="AS87:AT87"/>
    <mergeCell ref="AS88:AT88"/>
    <mergeCell ref="AU73:AV73"/>
    <mergeCell ref="AU74:AV74"/>
    <mergeCell ref="AU75:AV75"/>
    <mergeCell ref="AU76:AV76"/>
    <mergeCell ref="AU77:AV77"/>
    <mergeCell ref="AU78:AV78"/>
    <mergeCell ref="AU79:AV79"/>
    <mergeCell ref="AS80:AT80"/>
    <mergeCell ref="AS81:AT81"/>
    <mergeCell ref="AS82:AT82"/>
    <mergeCell ref="AS83:AT83"/>
    <mergeCell ref="AS84:AT84"/>
    <mergeCell ref="AS85:AT85"/>
    <mergeCell ref="AQ86:AR86"/>
    <mergeCell ref="AQ87:AR87"/>
    <mergeCell ref="AQ88:AR88"/>
    <mergeCell ref="AS73:AT73"/>
    <mergeCell ref="AS74:AT74"/>
    <mergeCell ref="AS75:AT75"/>
    <mergeCell ref="AS76:AT76"/>
    <mergeCell ref="AS77:AT77"/>
    <mergeCell ref="AS78:AT78"/>
    <mergeCell ref="AS79:AT79"/>
    <mergeCell ref="AQ80:AR80"/>
    <mergeCell ref="AQ81:AR81"/>
    <mergeCell ref="AQ82:AR82"/>
    <mergeCell ref="AQ83:AR83"/>
    <mergeCell ref="AQ84:AR84"/>
    <mergeCell ref="AQ85:AR85"/>
    <mergeCell ref="AO86:AP86"/>
    <mergeCell ref="AO87:AP87"/>
    <mergeCell ref="AO88:AP88"/>
    <mergeCell ref="AQ73:AR73"/>
    <mergeCell ref="AQ74:AR74"/>
    <mergeCell ref="AQ75:AR75"/>
    <mergeCell ref="AQ76:AR76"/>
    <mergeCell ref="AQ77:AR77"/>
    <mergeCell ref="AQ78:AR78"/>
    <mergeCell ref="AQ79:AR79"/>
    <mergeCell ref="AO80:AP80"/>
    <mergeCell ref="AO81:AP81"/>
    <mergeCell ref="AO82:AP82"/>
    <mergeCell ref="AO83:AP83"/>
    <mergeCell ref="AO84:AP84"/>
    <mergeCell ref="AO85:AP85"/>
    <mergeCell ref="AM86:AN86"/>
    <mergeCell ref="AM87:AN87"/>
    <mergeCell ref="AM88:AN88"/>
    <mergeCell ref="AO73:AP73"/>
    <mergeCell ref="AO74:AP74"/>
    <mergeCell ref="AO75:AP75"/>
    <mergeCell ref="AO76:AP76"/>
    <mergeCell ref="AO77:AP77"/>
    <mergeCell ref="AO78:AP78"/>
    <mergeCell ref="AO79:AP79"/>
    <mergeCell ref="AM80:AN80"/>
    <mergeCell ref="AM81:AN81"/>
    <mergeCell ref="AM82:AN82"/>
    <mergeCell ref="AM83:AN83"/>
    <mergeCell ref="AM84:AN84"/>
    <mergeCell ref="AM85:AN85"/>
    <mergeCell ref="AK86:AL86"/>
    <mergeCell ref="AK87:AL87"/>
    <mergeCell ref="AK88:AL88"/>
    <mergeCell ref="AM73:AN73"/>
    <mergeCell ref="AM74:AN74"/>
    <mergeCell ref="AM75:AN75"/>
    <mergeCell ref="AM76:AN76"/>
    <mergeCell ref="AM77:AN77"/>
    <mergeCell ref="AM78:AN78"/>
    <mergeCell ref="AM79:AN79"/>
    <mergeCell ref="AK80:AL80"/>
    <mergeCell ref="AK81:AL81"/>
    <mergeCell ref="AK82:AL82"/>
    <mergeCell ref="AK83:AL83"/>
    <mergeCell ref="AK84:AL84"/>
    <mergeCell ref="AK85:AL85"/>
    <mergeCell ref="AI86:AJ86"/>
    <mergeCell ref="AI87:AJ87"/>
    <mergeCell ref="AI88:AJ88"/>
    <mergeCell ref="AK73:AL73"/>
    <mergeCell ref="AK74:AL74"/>
    <mergeCell ref="AK75:AL75"/>
    <mergeCell ref="AK76:AL76"/>
    <mergeCell ref="AK77:AL77"/>
    <mergeCell ref="AK78:AL78"/>
    <mergeCell ref="AK79:AL79"/>
    <mergeCell ref="AI80:AJ80"/>
    <mergeCell ref="AI81:AJ81"/>
    <mergeCell ref="AI82:AJ82"/>
    <mergeCell ref="AI83:AJ83"/>
    <mergeCell ref="AI84:AJ84"/>
    <mergeCell ref="AI85:AJ85"/>
    <mergeCell ref="AG86:AH86"/>
    <mergeCell ref="AG87:AH87"/>
    <mergeCell ref="AG88:AH88"/>
    <mergeCell ref="AI73:AJ73"/>
    <mergeCell ref="AI74:AJ74"/>
    <mergeCell ref="AI75:AJ75"/>
    <mergeCell ref="AI76:AJ76"/>
    <mergeCell ref="AI77:AJ77"/>
    <mergeCell ref="AI78:AJ78"/>
    <mergeCell ref="AI79:AJ79"/>
    <mergeCell ref="AG80:AH80"/>
    <mergeCell ref="AG81:AH81"/>
    <mergeCell ref="AG82:AH82"/>
    <mergeCell ref="AG83:AH83"/>
    <mergeCell ref="AG84:AH84"/>
    <mergeCell ref="AG85:AH85"/>
    <mergeCell ref="AE86:AF86"/>
    <mergeCell ref="AE87:AF87"/>
    <mergeCell ref="AE88:AF88"/>
    <mergeCell ref="AG73:AH73"/>
    <mergeCell ref="AG74:AH74"/>
    <mergeCell ref="AG75:AH75"/>
    <mergeCell ref="AG76:AH76"/>
    <mergeCell ref="AG77:AH77"/>
    <mergeCell ref="AG78:AH78"/>
    <mergeCell ref="AG79:AH79"/>
    <mergeCell ref="AE80:AF80"/>
    <mergeCell ref="AE81:AF81"/>
    <mergeCell ref="AE82:AF82"/>
    <mergeCell ref="AE83:AF83"/>
    <mergeCell ref="AE84:AF84"/>
    <mergeCell ref="AE85:AF85"/>
    <mergeCell ref="AC86:AD86"/>
    <mergeCell ref="AC87:AD87"/>
    <mergeCell ref="AC88:AD88"/>
    <mergeCell ref="AE73:AF73"/>
    <mergeCell ref="AE74:AF74"/>
    <mergeCell ref="AE75:AF75"/>
    <mergeCell ref="AE76:AF76"/>
    <mergeCell ref="AE77:AF77"/>
    <mergeCell ref="AE78:AF78"/>
    <mergeCell ref="AE79:AF79"/>
    <mergeCell ref="AC80:AD80"/>
    <mergeCell ref="AC81:AD81"/>
    <mergeCell ref="AC82:AD82"/>
    <mergeCell ref="AC83:AD83"/>
    <mergeCell ref="AC84:AD84"/>
    <mergeCell ref="AC85:AD85"/>
    <mergeCell ref="AA86:AB86"/>
    <mergeCell ref="AA87:AB87"/>
    <mergeCell ref="AA88:AB88"/>
    <mergeCell ref="AC73:AD73"/>
    <mergeCell ref="AC74:AD74"/>
    <mergeCell ref="AC75:AD75"/>
    <mergeCell ref="AC76:AD76"/>
    <mergeCell ref="AC77:AD77"/>
    <mergeCell ref="AC78:AD78"/>
    <mergeCell ref="AC79:AD79"/>
    <mergeCell ref="AA80:AB80"/>
    <mergeCell ref="AA81:AB81"/>
    <mergeCell ref="AA82:AB82"/>
    <mergeCell ref="AA83:AB83"/>
    <mergeCell ref="AA84:AB84"/>
    <mergeCell ref="AA85:AB85"/>
    <mergeCell ref="Y86:Z86"/>
    <mergeCell ref="Y87:Z87"/>
    <mergeCell ref="Y88:Z88"/>
    <mergeCell ref="AA73:AB73"/>
    <mergeCell ref="AA74:AB74"/>
    <mergeCell ref="AA75:AB75"/>
    <mergeCell ref="AA76:AB76"/>
    <mergeCell ref="AA77:AB77"/>
    <mergeCell ref="AA78:AB78"/>
    <mergeCell ref="AA79:AB79"/>
    <mergeCell ref="Y80:Z80"/>
    <mergeCell ref="Y81:Z81"/>
    <mergeCell ref="Y82:Z82"/>
    <mergeCell ref="Y83:Z83"/>
    <mergeCell ref="Y84:Z84"/>
    <mergeCell ref="Y85:Z85"/>
    <mergeCell ref="W86:X86"/>
    <mergeCell ref="W87:X87"/>
    <mergeCell ref="W88:X88"/>
    <mergeCell ref="Y73:Z73"/>
    <mergeCell ref="Y74:Z74"/>
    <mergeCell ref="Y75:Z75"/>
    <mergeCell ref="Y76:Z76"/>
    <mergeCell ref="Y77:Z77"/>
    <mergeCell ref="Y78:Z78"/>
    <mergeCell ref="Y79:Z79"/>
    <mergeCell ref="W80:X80"/>
    <mergeCell ref="W81:X81"/>
    <mergeCell ref="W82:X82"/>
    <mergeCell ref="W83:X83"/>
    <mergeCell ref="W84:X84"/>
    <mergeCell ref="W85:X85"/>
    <mergeCell ref="U86:V86"/>
    <mergeCell ref="U87:V87"/>
    <mergeCell ref="U88:V88"/>
    <mergeCell ref="W73:X73"/>
    <mergeCell ref="W74:X74"/>
    <mergeCell ref="W75:X75"/>
    <mergeCell ref="W76:X76"/>
    <mergeCell ref="W77:X77"/>
    <mergeCell ref="W78:X78"/>
    <mergeCell ref="W79:X79"/>
    <mergeCell ref="U80:V80"/>
    <mergeCell ref="U81:V81"/>
    <mergeCell ref="U82:V82"/>
    <mergeCell ref="U83:V83"/>
    <mergeCell ref="U84:V84"/>
    <mergeCell ref="U85:V85"/>
    <mergeCell ref="S86:T86"/>
    <mergeCell ref="S87:T87"/>
    <mergeCell ref="S88:T88"/>
    <mergeCell ref="U73:V73"/>
    <mergeCell ref="U74:V74"/>
    <mergeCell ref="U75:V75"/>
    <mergeCell ref="U76:V76"/>
    <mergeCell ref="U77:V77"/>
    <mergeCell ref="U78:V78"/>
    <mergeCell ref="U79:V79"/>
    <mergeCell ref="S80:T80"/>
    <mergeCell ref="S81:T81"/>
    <mergeCell ref="S82:T82"/>
    <mergeCell ref="S83:T83"/>
    <mergeCell ref="S84:T84"/>
    <mergeCell ref="S85:T85"/>
    <mergeCell ref="Q86:R86"/>
    <mergeCell ref="Q87:R87"/>
    <mergeCell ref="Q88:R88"/>
    <mergeCell ref="S73:T73"/>
    <mergeCell ref="S74:T74"/>
    <mergeCell ref="S75:T75"/>
    <mergeCell ref="S76:T76"/>
    <mergeCell ref="S77:T77"/>
    <mergeCell ref="S78:T78"/>
    <mergeCell ref="S79:T79"/>
    <mergeCell ref="Q80:R80"/>
    <mergeCell ref="Q81:R81"/>
    <mergeCell ref="Q82:R82"/>
    <mergeCell ref="Q83:R83"/>
    <mergeCell ref="Q84:R84"/>
    <mergeCell ref="Q85:R85"/>
    <mergeCell ref="O86:P86"/>
    <mergeCell ref="O87:P87"/>
    <mergeCell ref="O88:P88"/>
    <mergeCell ref="Q73:R73"/>
    <mergeCell ref="Q74:R74"/>
    <mergeCell ref="Q75:R75"/>
    <mergeCell ref="Q76:R76"/>
    <mergeCell ref="Q77:R77"/>
    <mergeCell ref="Q78:R78"/>
    <mergeCell ref="Q79:R79"/>
    <mergeCell ref="O80:P80"/>
    <mergeCell ref="O81:P81"/>
    <mergeCell ref="O82:P82"/>
    <mergeCell ref="O83:P83"/>
    <mergeCell ref="O84:P84"/>
    <mergeCell ref="O85:P85"/>
    <mergeCell ref="M86:N86"/>
    <mergeCell ref="M87:N87"/>
    <mergeCell ref="M88:N88"/>
    <mergeCell ref="O73:P73"/>
    <mergeCell ref="O74:P74"/>
    <mergeCell ref="O75:P75"/>
    <mergeCell ref="O76:P76"/>
    <mergeCell ref="O77:P77"/>
    <mergeCell ref="O78:P78"/>
    <mergeCell ref="O79:P79"/>
    <mergeCell ref="M80:N80"/>
    <mergeCell ref="M81:N81"/>
    <mergeCell ref="M82:N82"/>
    <mergeCell ref="M83:N83"/>
    <mergeCell ref="M84:N84"/>
    <mergeCell ref="M85:N85"/>
    <mergeCell ref="K87:L87"/>
    <mergeCell ref="K88:L88"/>
    <mergeCell ref="I88:J88"/>
    <mergeCell ref="M73:N73"/>
    <mergeCell ref="M74:N74"/>
    <mergeCell ref="M75:N75"/>
    <mergeCell ref="M76:N76"/>
    <mergeCell ref="M77:N77"/>
    <mergeCell ref="M78:N78"/>
    <mergeCell ref="M79:N79"/>
    <mergeCell ref="K81:L81"/>
    <mergeCell ref="K82:L82"/>
    <mergeCell ref="K83:L83"/>
    <mergeCell ref="K84:L84"/>
    <mergeCell ref="K85:L85"/>
    <mergeCell ref="K86:L86"/>
    <mergeCell ref="I86:J86"/>
    <mergeCell ref="I87:J87"/>
    <mergeCell ref="K73:L73"/>
    <mergeCell ref="K74:L74"/>
    <mergeCell ref="K75:L75"/>
    <mergeCell ref="K76:L76"/>
    <mergeCell ref="K77:L77"/>
    <mergeCell ref="K78:L78"/>
    <mergeCell ref="K79:L79"/>
    <mergeCell ref="K80:L80"/>
    <mergeCell ref="I80:J80"/>
    <mergeCell ref="I81:J81"/>
    <mergeCell ref="I82:J82"/>
    <mergeCell ref="I83:J83"/>
    <mergeCell ref="I84:J84"/>
    <mergeCell ref="I85:J85"/>
    <mergeCell ref="G88:H88"/>
    <mergeCell ref="C88:D88"/>
    <mergeCell ref="E88:F88"/>
    <mergeCell ref="I73:J73"/>
    <mergeCell ref="I74:J74"/>
    <mergeCell ref="I75:J75"/>
    <mergeCell ref="I76:J76"/>
    <mergeCell ref="I77:J77"/>
    <mergeCell ref="I78:J78"/>
    <mergeCell ref="I79:J79"/>
    <mergeCell ref="G82:H82"/>
    <mergeCell ref="G83:H83"/>
    <mergeCell ref="G84:H84"/>
    <mergeCell ref="G85:H85"/>
    <mergeCell ref="G86:H86"/>
    <mergeCell ref="G87:H87"/>
    <mergeCell ref="E87:F87"/>
    <mergeCell ref="G73:H73"/>
    <mergeCell ref="G74:H74"/>
    <mergeCell ref="G75:H75"/>
    <mergeCell ref="G76:H76"/>
    <mergeCell ref="G77:H77"/>
    <mergeCell ref="G78:H78"/>
    <mergeCell ref="G79:H79"/>
    <mergeCell ref="G80:H80"/>
    <mergeCell ref="G81:H81"/>
    <mergeCell ref="E81:F81"/>
    <mergeCell ref="E82:F82"/>
    <mergeCell ref="E83:F83"/>
    <mergeCell ref="E84:F84"/>
    <mergeCell ref="E85:F85"/>
    <mergeCell ref="E86:F86"/>
    <mergeCell ref="C86:D86"/>
    <mergeCell ref="C87:D87"/>
    <mergeCell ref="E73:F73"/>
    <mergeCell ref="E74:F74"/>
    <mergeCell ref="E75:F75"/>
    <mergeCell ref="E76:F76"/>
    <mergeCell ref="E77:F77"/>
    <mergeCell ref="E78:F78"/>
    <mergeCell ref="E79:F79"/>
    <mergeCell ref="E80:F80"/>
    <mergeCell ref="C80:D80"/>
    <mergeCell ref="C81:D81"/>
    <mergeCell ref="C82:D82"/>
    <mergeCell ref="C83:D83"/>
    <mergeCell ref="C84:D84"/>
    <mergeCell ref="C85:D85"/>
    <mergeCell ref="C74:D74"/>
    <mergeCell ref="C75:D75"/>
    <mergeCell ref="C76:D76"/>
    <mergeCell ref="C77:D77"/>
    <mergeCell ref="C78:D78"/>
    <mergeCell ref="C79:D79"/>
    <mergeCell ref="BQ17:BR17"/>
    <mergeCell ref="BQ18:BR18"/>
    <mergeCell ref="BQ19:BR19"/>
    <mergeCell ref="BQ20:BR20"/>
    <mergeCell ref="BQ21:BR21"/>
    <mergeCell ref="C73:D73"/>
    <mergeCell ref="BQ11:BR11"/>
    <mergeCell ref="BQ12:BR12"/>
    <mergeCell ref="BQ13:BR13"/>
    <mergeCell ref="BQ14:BR14"/>
    <mergeCell ref="BQ15:BR15"/>
    <mergeCell ref="BQ16:BR16"/>
    <mergeCell ref="BO18:BP18"/>
    <mergeCell ref="BO19:BP19"/>
    <mergeCell ref="BO21:BP21"/>
    <mergeCell ref="BO20:BP20"/>
    <mergeCell ref="BQ5:BR5"/>
    <mergeCell ref="BQ6:BR6"/>
    <mergeCell ref="BQ7:BR7"/>
    <mergeCell ref="BQ8:BR8"/>
    <mergeCell ref="BQ9:BR9"/>
    <mergeCell ref="BQ10:BR10"/>
    <mergeCell ref="BO12:BP12"/>
    <mergeCell ref="BO13:BP13"/>
    <mergeCell ref="BO14:BP14"/>
    <mergeCell ref="BO15:BP15"/>
    <mergeCell ref="BO16:BP16"/>
    <mergeCell ref="BO17:BP17"/>
    <mergeCell ref="BM19:BN19"/>
    <mergeCell ref="BM20:BN20"/>
    <mergeCell ref="BM21:BN21"/>
    <mergeCell ref="BO5:BP5"/>
    <mergeCell ref="BM18:BN18"/>
    <mergeCell ref="BK19:BL19"/>
    <mergeCell ref="BK20:BL20"/>
    <mergeCell ref="BM5:BN5"/>
    <mergeCell ref="BM6:BN6"/>
    <mergeCell ref="BM7:BN7"/>
    <mergeCell ref="BM8:BN8"/>
    <mergeCell ref="BM9:BN9"/>
    <mergeCell ref="BM10:BN10"/>
    <mergeCell ref="BM11:BN11"/>
    <mergeCell ref="BM12:BN12"/>
    <mergeCell ref="BK13:BL13"/>
    <mergeCell ref="BK14:BL14"/>
    <mergeCell ref="BK15:BL15"/>
    <mergeCell ref="BK16:BL16"/>
    <mergeCell ref="BK17:BL17"/>
    <mergeCell ref="BK18:BL18"/>
    <mergeCell ref="BI7:BJ7"/>
    <mergeCell ref="BI8:BJ8"/>
    <mergeCell ref="BI9:BJ9"/>
    <mergeCell ref="BI10:BJ10"/>
    <mergeCell ref="BI11:BJ11"/>
    <mergeCell ref="BI12:BJ12"/>
    <mergeCell ref="BO6:BP6"/>
    <mergeCell ref="BO7:BP7"/>
    <mergeCell ref="BO8:BP8"/>
    <mergeCell ref="BO9:BP9"/>
    <mergeCell ref="BO10:BP10"/>
    <mergeCell ref="BO11:BP11"/>
    <mergeCell ref="BM13:BN13"/>
    <mergeCell ref="BM14:BN14"/>
    <mergeCell ref="BM15:BN15"/>
    <mergeCell ref="BM16:BN16"/>
    <mergeCell ref="BM17:BN17"/>
    <mergeCell ref="BG21:BH21"/>
    <mergeCell ref="BG10:BH10"/>
    <mergeCell ref="BG11:BH11"/>
    <mergeCell ref="BG12:BH12"/>
    <mergeCell ref="BG13:BH13"/>
    <mergeCell ref="BG14:BH14"/>
    <mergeCell ref="BG15:BH15"/>
    <mergeCell ref="BE17:BF17"/>
    <mergeCell ref="BE18:BF18"/>
    <mergeCell ref="BE19:BF19"/>
    <mergeCell ref="BE20:BF20"/>
    <mergeCell ref="BE21:BF21"/>
    <mergeCell ref="BI19:BJ19"/>
    <mergeCell ref="BI20:BJ20"/>
    <mergeCell ref="BK5:BL5"/>
    <mergeCell ref="BK6:BL6"/>
    <mergeCell ref="BK7:BL7"/>
    <mergeCell ref="BK8:BL8"/>
    <mergeCell ref="BK9:BL9"/>
    <mergeCell ref="BK10:BL10"/>
    <mergeCell ref="BK11:BL11"/>
    <mergeCell ref="BK12:BL12"/>
    <mergeCell ref="BI13:BJ13"/>
    <mergeCell ref="BI14:BJ14"/>
    <mergeCell ref="BI15:BJ15"/>
    <mergeCell ref="BI16:BJ16"/>
    <mergeCell ref="BI17:BJ17"/>
    <mergeCell ref="BI18:BJ18"/>
    <mergeCell ref="BI21:BJ21"/>
    <mergeCell ref="BK21:BL21"/>
    <mergeCell ref="BI5:BJ5"/>
    <mergeCell ref="BI6:BJ6"/>
    <mergeCell ref="BG5:BH5"/>
    <mergeCell ref="BG6:BH6"/>
    <mergeCell ref="BG7:BH7"/>
    <mergeCell ref="BG8:BH8"/>
    <mergeCell ref="BG9:BH9"/>
    <mergeCell ref="BE11:BF11"/>
    <mergeCell ref="BE12:BF12"/>
    <mergeCell ref="BE13:BF13"/>
    <mergeCell ref="BE14:BF14"/>
    <mergeCell ref="BE15:BF15"/>
    <mergeCell ref="BE16:BF16"/>
    <mergeCell ref="BC17:BD17"/>
    <mergeCell ref="BC18:BD18"/>
    <mergeCell ref="BC19:BD19"/>
    <mergeCell ref="BC20:BD20"/>
    <mergeCell ref="BE5:BF5"/>
    <mergeCell ref="BE6:BF6"/>
    <mergeCell ref="BE7:BF7"/>
    <mergeCell ref="BE8:BF8"/>
    <mergeCell ref="BE9:BF9"/>
    <mergeCell ref="BE10:BF10"/>
    <mergeCell ref="BC11:BD11"/>
    <mergeCell ref="BC12:BD12"/>
    <mergeCell ref="BC13:BD13"/>
    <mergeCell ref="BC14:BD14"/>
    <mergeCell ref="BC15:BD15"/>
    <mergeCell ref="BC16:BD16"/>
    <mergeCell ref="BG16:BH16"/>
    <mergeCell ref="BG17:BH17"/>
    <mergeCell ref="BG18:BH18"/>
    <mergeCell ref="BG19:BH19"/>
    <mergeCell ref="BG20:BH20"/>
    <mergeCell ref="BC5:BD5"/>
    <mergeCell ref="BC6:BD6"/>
    <mergeCell ref="BC7:BD7"/>
    <mergeCell ref="BC8:BD8"/>
    <mergeCell ref="BC9:BD9"/>
    <mergeCell ref="BC10:BD10"/>
    <mergeCell ref="BA11:BB11"/>
    <mergeCell ref="BA12:BB12"/>
    <mergeCell ref="BA13:BB13"/>
    <mergeCell ref="BA14:BB14"/>
    <mergeCell ref="BA15:BB15"/>
    <mergeCell ref="BA16:BB16"/>
    <mergeCell ref="BA5:BB5"/>
    <mergeCell ref="BA6:BB6"/>
    <mergeCell ref="BA7:BB7"/>
    <mergeCell ref="BA8:BB8"/>
    <mergeCell ref="BA9:BB9"/>
    <mergeCell ref="BA10:BB10"/>
    <mergeCell ref="AY18:AZ18"/>
    <mergeCell ref="AY19:AZ19"/>
    <mergeCell ref="AY20:AZ20"/>
    <mergeCell ref="AY21:AZ21"/>
    <mergeCell ref="BA21:BB21"/>
    <mergeCell ref="BC21:BD21"/>
    <mergeCell ref="AY12:AZ12"/>
    <mergeCell ref="AY13:AZ13"/>
    <mergeCell ref="AY14:AZ14"/>
    <mergeCell ref="AY15:AZ15"/>
    <mergeCell ref="AY16:AZ16"/>
    <mergeCell ref="AY17:AZ17"/>
    <mergeCell ref="AW18:AX18"/>
    <mergeCell ref="AW19:AX19"/>
    <mergeCell ref="AW20:AX20"/>
    <mergeCell ref="AY5:AZ5"/>
    <mergeCell ref="AY6:AZ6"/>
    <mergeCell ref="AY7:AZ7"/>
    <mergeCell ref="AY8:AZ8"/>
    <mergeCell ref="AY9:AZ9"/>
    <mergeCell ref="AY10:AZ10"/>
    <mergeCell ref="AY11:AZ11"/>
    <mergeCell ref="AW12:AX12"/>
    <mergeCell ref="AW13:AX13"/>
    <mergeCell ref="AW14:AX14"/>
    <mergeCell ref="AW15:AX15"/>
    <mergeCell ref="AW16:AX16"/>
    <mergeCell ref="AW17:AX17"/>
    <mergeCell ref="BA17:BB17"/>
    <mergeCell ref="BA18:BB18"/>
    <mergeCell ref="BA19:BB19"/>
    <mergeCell ref="BA20:BB20"/>
    <mergeCell ref="AU12:AV12"/>
    <mergeCell ref="AU13:AV13"/>
    <mergeCell ref="AU14:AV14"/>
    <mergeCell ref="AU15:AV15"/>
    <mergeCell ref="AU16:AV16"/>
    <mergeCell ref="AU17:AV17"/>
    <mergeCell ref="AS18:AT18"/>
    <mergeCell ref="AS19:AT19"/>
    <mergeCell ref="AS20:AT20"/>
    <mergeCell ref="AU5:AV5"/>
    <mergeCell ref="AU6:AV6"/>
    <mergeCell ref="AU7:AV7"/>
    <mergeCell ref="AU8:AV8"/>
    <mergeCell ref="AU9:AV9"/>
    <mergeCell ref="AU10:AV10"/>
    <mergeCell ref="AU11:AV11"/>
    <mergeCell ref="AS12:AT12"/>
    <mergeCell ref="AS13:AT13"/>
    <mergeCell ref="AS14:AT14"/>
    <mergeCell ref="AS15:AT15"/>
    <mergeCell ref="AS16:AT16"/>
    <mergeCell ref="AS17:AT17"/>
    <mergeCell ref="AS21:AT21"/>
    <mergeCell ref="AU21:AV21"/>
    <mergeCell ref="AW21:AX21"/>
    <mergeCell ref="AS5:AT5"/>
    <mergeCell ref="AS6:AT6"/>
    <mergeCell ref="AS7:AT7"/>
    <mergeCell ref="AS8:AT8"/>
    <mergeCell ref="AS9:AT9"/>
    <mergeCell ref="AS10:AT10"/>
    <mergeCell ref="AS11:AT11"/>
    <mergeCell ref="AQ16:AR16"/>
    <mergeCell ref="AQ17:AR17"/>
    <mergeCell ref="AQ18:AR18"/>
    <mergeCell ref="AQ19:AR19"/>
    <mergeCell ref="AQ20:AR20"/>
    <mergeCell ref="AQ21:AR21"/>
    <mergeCell ref="AQ10:AR10"/>
    <mergeCell ref="AQ11:AR11"/>
    <mergeCell ref="AQ12:AR12"/>
    <mergeCell ref="AQ13:AR13"/>
    <mergeCell ref="AQ14:AR14"/>
    <mergeCell ref="AQ15:AR15"/>
    <mergeCell ref="AU18:AV18"/>
    <mergeCell ref="AU19:AV19"/>
    <mergeCell ref="AU20:AV20"/>
    <mergeCell ref="AW5:AX5"/>
    <mergeCell ref="AW6:AX6"/>
    <mergeCell ref="AW7:AX7"/>
    <mergeCell ref="AW8:AX8"/>
    <mergeCell ref="AW9:AX9"/>
    <mergeCell ref="AW10:AX10"/>
    <mergeCell ref="AW11:AX11"/>
    <mergeCell ref="AO17:AP17"/>
    <mergeCell ref="AO18:AP18"/>
    <mergeCell ref="AO19:AP19"/>
    <mergeCell ref="AO20:AP20"/>
    <mergeCell ref="AO21:AP21"/>
    <mergeCell ref="AQ5:AR5"/>
    <mergeCell ref="AQ6:AR6"/>
    <mergeCell ref="AQ7:AR7"/>
    <mergeCell ref="AQ8:AR8"/>
    <mergeCell ref="AQ9:AR9"/>
    <mergeCell ref="AO11:AP11"/>
    <mergeCell ref="AO12:AP12"/>
    <mergeCell ref="AO13:AP13"/>
    <mergeCell ref="AO14:AP14"/>
    <mergeCell ref="AO15:AP15"/>
    <mergeCell ref="AO16:AP16"/>
    <mergeCell ref="AO5:AP5"/>
    <mergeCell ref="AO6:AP6"/>
    <mergeCell ref="AO7:AP7"/>
    <mergeCell ref="AO8:AP8"/>
    <mergeCell ref="AO9:AP9"/>
    <mergeCell ref="AO10:AP10"/>
    <mergeCell ref="AM11:AN11"/>
    <mergeCell ref="AM12:AN12"/>
    <mergeCell ref="AM13:AN13"/>
    <mergeCell ref="AM14:AN14"/>
    <mergeCell ref="AM15:AN15"/>
    <mergeCell ref="AM16:AN16"/>
    <mergeCell ref="AM5:AN5"/>
    <mergeCell ref="AM6:AN6"/>
    <mergeCell ref="AM7:AN7"/>
    <mergeCell ref="AM8:AN8"/>
    <mergeCell ref="AM9:AN9"/>
    <mergeCell ref="AM10:AN10"/>
    <mergeCell ref="AK17:AL17"/>
    <mergeCell ref="AK18:AL18"/>
    <mergeCell ref="AK19:AL19"/>
    <mergeCell ref="AK20:AL20"/>
    <mergeCell ref="AK21:AL21"/>
    <mergeCell ref="AM21:AN21"/>
    <mergeCell ref="AM17:AN17"/>
    <mergeCell ref="AM18:AN18"/>
    <mergeCell ref="AM19:AN19"/>
    <mergeCell ref="AM20:AN20"/>
    <mergeCell ref="AK11:AL11"/>
    <mergeCell ref="AK12:AL12"/>
    <mergeCell ref="AK13:AL13"/>
    <mergeCell ref="AK14:AL14"/>
    <mergeCell ref="AK15:AL15"/>
    <mergeCell ref="AK16:AL16"/>
    <mergeCell ref="AK5:AL5"/>
    <mergeCell ref="AK6:AL6"/>
    <mergeCell ref="AK7:AL7"/>
    <mergeCell ref="AK8:AL8"/>
    <mergeCell ref="AK9:AL9"/>
    <mergeCell ref="AK10:AL10"/>
    <mergeCell ref="AI16:AJ16"/>
    <mergeCell ref="AI17:AJ17"/>
    <mergeCell ref="AI18:AJ18"/>
    <mergeCell ref="AI19:AJ19"/>
    <mergeCell ref="AI20:AJ20"/>
    <mergeCell ref="AI21:AJ21"/>
    <mergeCell ref="AI10:AJ10"/>
    <mergeCell ref="AI11:AJ11"/>
    <mergeCell ref="AI12:AJ12"/>
    <mergeCell ref="AI13:AJ13"/>
    <mergeCell ref="AI14:AJ14"/>
    <mergeCell ref="AI15:AJ15"/>
    <mergeCell ref="AG17:AH17"/>
    <mergeCell ref="AG18:AH18"/>
    <mergeCell ref="AG19:AH19"/>
    <mergeCell ref="AG20:AH20"/>
    <mergeCell ref="AG21:AH21"/>
    <mergeCell ref="AE21:AF21"/>
    <mergeCell ref="AE10:AF10"/>
    <mergeCell ref="AE11:AF11"/>
    <mergeCell ref="AE12:AF12"/>
    <mergeCell ref="AE13:AF13"/>
    <mergeCell ref="AE14:AF14"/>
    <mergeCell ref="AE15:AF15"/>
    <mergeCell ref="AC17:AD17"/>
    <mergeCell ref="AC18:AD18"/>
    <mergeCell ref="AC19:AD19"/>
    <mergeCell ref="AC20:AD20"/>
    <mergeCell ref="AC21:AD21"/>
    <mergeCell ref="AI5:AJ5"/>
    <mergeCell ref="AI6:AJ6"/>
    <mergeCell ref="AI7:AJ7"/>
    <mergeCell ref="AI8:AJ8"/>
    <mergeCell ref="AI9:AJ9"/>
    <mergeCell ref="AG11:AH11"/>
    <mergeCell ref="AG12:AH12"/>
    <mergeCell ref="AG13:AH13"/>
    <mergeCell ref="AG14:AH14"/>
    <mergeCell ref="AG15:AH15"/>
    <mergeCell ref="AG16:AH16"/>
    <mergeCell ref="AG5:AH5"/>
    <mergeCell ref="AG6:AH6"/>
    <mergeCell ref="AG7:AH7"/>
    <mergeCell ref="AG8:AH8"/>
    <mergeCell ref="AG9:AH9"/>
    <mergeCell ref="AG10:AH10"/>
    <mergeCell ref="AE5:AF5"/>
    <mergeCell ref="AE6:AF6"/>
    <mergeCell ref="AE7:AF7"/>
    <mergeCell ref="AA20:AB20"/>
    <mergeCell ref="AC5:AD5"/>
    <mergeCell ref="AC6:AD6"/>
    <mergeCell ref="AC7:AD7"/>
    <mergeCell ref="AC8:AD8"/>
    <mergeCell ref="AC9:AD9"/>
    <mergeCell ref="AC10:AD10"/>
    <mergeCell ref="AA11:AB11"/>
    <mergeCell ref="AA12:AB12"/>
    <mergeCell ref="AA13:AB13"/>
    <mergeCell ref="AA14:AB14"/>
    <mergeCell ref="AA15:AB15"/>
    <mergeCell ref="AA16:AB16"/>
    <mergeCell ref="AE16:AF16"/>
    <mergeCell ref="AE17:AF17"/>
    <mergeCell ref="AE18:AF18"/>
    <mergeCell ref="AE19:AF19"/>
    <mergeCell ref="AE20:AF20"/>
    <mergeCell ref="AA5:AB5"/>
    <mergeCell ref="AA6:AB6"/>
    <mergeCell ref="AA7:AB7"/>
    <mergeCell ref="AA10:AB10"/>
    <mergeCell ref="Y11:Z11"/>
    <mergeCell ref="Y12:Z12"/>
    <mergeCell ref="Y13:Z13"/>
    <mergeCell ref="Y14:Z14"/>
    <mergeCell ref="Y15:Z15"/>
    <mergeCell ref="Y16:Z16"/>
    <mergeCell ref="Y5:Z5"/>
    <mergeCell ref="Y6:Z6"/>
    <mergeCell ref="Y7:Z7"/>
    <mergeCell ref="Y8:Z8"/>
    <mergeCell ref="Y9:Z9"/>
    <mergeCell ref="Y10:Z10"/>
    <mergeCell ref="W18:X18"/>
    <mergeCell ref="W19:X19"/>
    <mergeCell ref="AE8:AF8"/>
    <mergeCell ref="AE9:AF9"/>
    <mergeCell ref="AC11:AD11"/>
    <mergeCell ref="AC12:AD12"/>
    <mergeCell ref="AC13:AD13"/>
    <mergeCell ref="AC14:AD14"/>
    <mergeCell ref="AC15:AD15"/>
    <mergeCell ref="AC16:AD16"/>
    <mergeCell ref="AA17:AB17"/>
    <mergeCell ref="AA18:AB18"/>
    <mergeCell ref="AA19:AB19"/>
    <mergeCell ref="W20:X20"/>
    <mergeCell ref="W21:X21"/>
    <mergeCell ref="Y21:Z21"/>
    <mergeCell ref="AA21:AB21"/>
    <mergeCell ref="W12:X12"/>
    <mergeCell ref="W13:X13"/>
    <mergeCell ref="W14:X14"/>
    <mergeCell ref="W15:X15"/>
    <mergeCell ref="W16:X16"/>
    <mergeCell ref="W17:X17"/>
    <mergeCell ref="U19:V19"/>
    <mergeCell ref="U20:V20"/>
    <mergeCell ref="U21:V21"/>
    <mergeCell ref="W5:X5"/>
    <mergeCell ref="W6:X6"/>
    <mergeCell ref="W7:X7"/>
    <mergeCell ref="W8:X8"/>
    <mergeCell ref="W9:X9"/>
    <mergeCell ref="W10:X10"/>
    <mergeCell ref="W11:X11"/>
    <mergeCell ref="U13:V13"/>
    <mergeCell ref="U14:V14"/>
    <mergeCell ref="U15:V15"/>
    <mergeCell ref="U16:V16"/>
    <mergeCell ref="U17:V17"/>
    <mergeCell ref="U18:V18"/>
    <mergeCell ref="Y17:Z17"/>
    <mergeCell ref="Y18:Z18"/>
    <mergeCell ref="Y19:Z19"/>
    <mergeCell ref="Y20:Z20"/>
    <mergeCell ref="AA8:AB8"/>
    <mergeCell ref="AA9:AB9"/>
    <mergeCell ref="S20:T20"/>
    <mergeCell ref="S21:T21"/>
    <mergeCell ref="U5:V5"/>
    <mergeCell ref="U6:V6"/>
    <mergeCell ref="U7:V7"/>
    <mergeCell ref="U8:V8"/>
    <mergeCell ref="U9:V9"/>
    <mergeCell ref="U10:V10"/>
    <mergeCell ref="U11:V11"/>
    <mergeCell ref="U12:V12"/>
    <mergeCell ref="S14:T14"/>
    <mergeCell ref="S15:T15"/>
    <mergeCell ref="S16:T16"/>
    <mergeCell ref="S17:T17"/>
    <mergeCell ref="S18:T18"/>
    <mergeCell ref="S19:T19"/>
    <mergeCell ref="Q20:R20"/>
    <mergeCell ref="S5:T5"/>
    <mergeCell ref="S6:T6"/>
    <mergeCell ref="S7:T7"/>
    <mergeCell ref="S8:T8"/>
    <mergeCell ref="S9:T9"/>
    <mergeCell ref="S10:T10"/>
    <mergeCell ref="S11:T11"/>
    <mergeCell ref="S12:T12"/>
    <mergeCell ref="S13:T13"/>
    <mergeCell ref="Q14:R14"/>
    <mergeCell ref="Q15:R15"/>
    <mergeCell ref="Q16:R16"/>
    <mergeCell ref="Q17:R17"/>
    <mergeCell ref="Q18:R18"/>
    <mergeCell ref="Q19:R19"/>
    <mergeCell ref="Q21:R21"/>
    <mergeCell ref="Q5:R5"/>
    <mergeCell ref="Q6:R6"/>
    <mergeCell ref="Q7:R7"/>
    <mergeCell ref="Q8:R8"/>
    <mergeCell ref="Q9:R9"/>
    <mergeCell ref="Q10:R10"/>
    <mergeCell ref="Q11:R11"/>
    <mergeCell ref="Q12:R12"/>
    <mergeCell ref="Q13:R13"/>
    <mergeCell ref="O16:P16"/>
    <mergeCell ref="O17:P17"/>
    <mergeCell ref="O18:P18"/>
    <mergeCell ref="O19:P19"/>
    <mergeCell ref="O20:P20"/>
    <mergeCell ref="M21:N21"/>
    <mergeCell ref="O21:P21"/>
    <mergeCell ref="O10:P10"/>
    <mergeCell ref="O11:P11"/>
    <mergeCell ref="O12:P12"/>
    <mergeCell ref="O13:P13"/>
    <mergeCell ref="O14:P14"/>
    <mergeCell ref="O15:P15"/>
    <mergeCell ref="M16:N16"/>
    <mergeCell ref="M17:N17"/>
    <mergeCell ref="M18:N18"/>
    <mergeCell ref="M19:N19"/>
    <mergeCell ref="M20:N20"/>
    <mergeCell ref="O5:P5"/>
    <mergeCell ref="O6:P6"/>
    <mergeCell ref="O7:P7"/>
    <mergeCell ref="O8:P8"/>
    <mergeCell ref="G15:H15"/>
    <mergeCell ref="O9:P9"/>
    <mergeCell ref="M10:N10"/>
    <mergeCell ref="M11:N11"/>
    <mergeCell ref="M12:N12"/>
    <mergeCell ref="M13:N13"/>
    <mergeCell ref="M14:N14"/>
    <mergeCell ref="M15:N15"/>
    <mergeCell ref="K16:L16"/>
    <mergeCell ref="K17:L17"/>
    <mergeCell ref="K18:L18"/>
    <mergeCell ref="K19:L19"/>
    <mergeCell ref="K20:L20"/>
    <mergeCell ref="M5:N5"/>
    <mergeCell ref="M6:N6"/>
    <mergeCell ref="M7:N7"/>
    <mergeCell ref="M8:N8"/>
    <mergeCell ref="M9:N9"/>
    <mergeCell ref="K10:L10"/>
    <mergeCell ref="K11:L11"/>
    <mergeCell ref="K12:L12"/>
    <mergeCell ref="K13:L13"/>
    <mergeCell ref="K14:L14"/>
    <mergeCell ref="K15:L15"/>
    <mergeCell ref="E16:F16"/>
    <mergeCell ref="I16:J16"/>
    <mergeCell ref="I17:J17"/>
    <mergeCell ref="I18:J18"/>
    <mergeCell ref="I19:J19"/>
    <mergeCell ref="I20:J20"/>
    <mergeCell ref="K5:L5"/>
    <mergeCell ref="K6:L6"/>
    <mergeCell ref="K7:L7"/>
    <mergeCell ref="K8:L8"/>
    <mergeCell ref="K9:L9"/>
    <mergeCell ref="I10:J10"/>
    <mergeCell ref="I11:J11"/>
    <mergeCell ref="I12:J12"/>
    <mergeCell ref="I13:J13"/>
    <mergeCell ref="I14:J14"/>
    <mergeCell ref="I15:J15"/>
    <mergeCell ref="G16:H16"/>
    <mergeCell ref="G17:H17"/>
    <mergeCell ref="G18:H18"/>
    <mergeCell ref="G19:H19"/>
    <mergeCell ref="G20:H20"/>
    <mergeCell ref="I5:J5"/>
    <mergeCell ref="I6:J6"/>
    <mergeCell ref="I7:J7"/>
    <mergeCell ref="I8:J8"/>
    <mergeCell ref="I9:J9"/>
    <mergeCell ref="G10:H10"/>
    <mergeCell ref="G11:H11"/>
    <mergeCell ref="G12:H12"/>
    <mergeCell ref="G13:H13"/>
    <mergeCell ref="G14:H14"/>
    <mergeCell ref="BQ87:BR87"/>
    <mergeCell ref="BQ88:BR88"/>
    <mergeCell ref="C5:D5"/>
    <mergeCell ref="C6:D6"/>
    <mergeCell ref="C7:D7"/>
    <mergeCell ref="C8:D8"/>
    <mergeCell ref="C9:D9"/>
    <mergeCell ref="C10:D10"/>
    <mergeCell ref="C11:D11"/>
    <mergeCell ref="BQ81:BR81"/>
    <mergeCell ref="BQ82:BR82"/>
    <mergeCell ref="BQ83:BR83"/>
    <mergeCell ref="BQ84:BR84"/>
    <mergeCell ref="BQ85:BR85"/>
    <mergeCell ref="BQ86:BR86"/>
    <mergeCell ref="BQ71:BR72"/>
    <mergeCell ref="BQ77:BR77"/>
    <mergeCell ref="BQ78:BR78"/>
    <mergeCell ref="BQ79:BR79"/>
    <mergeCell ref="BQ80:BR80"/>
    <mergeCell ref="AC71:AD72"/>
    <mergeCell ref="AE71:AF72"/>
    <mergeCell ref="E5:F5"/>
    <mergeCell ref="G5:H5"/>
    <mergeCell ref="G6:H6"/>
    <mergeCell ref="G7:H7"/>
    <mergeCell ref="G8:H8"/>
    <mergeCell ref="G9:H9"/>
    <mergeCell ref="E17:F17"/>
    <mergeCell ref="E18:F18"/>
    <mergeCell ref="E19:F19"/>
    <mergeCell ref="E20:F20"/>
    <mergeCell ref="BK113:BL113"/>
    <mergeCell ref="BM113:BN113"/>
    <mergeCell ref="BO113:BP113"/>
    <mergeCell ref="BQ113:BR113"/>
    <mergeCell ref="A130:B130"/>
    <mergeCell ref="BQ73:BR73"/>
    <mergeCell ref="BQ74:BR74"/>
    <mergeCell ref="BQ75:BR75"/>
    <mergeCell ref="BQ76:BR76"/>
    <mergeCell ref="AY113:AZ113"/>
    <mergeCell ref="BA113:BB113"/>
    <mergeCell ref="BC113:BD113"/>
    <mergeCell ref="BE113:BF113"/>
    <mergeCell ref="BG113:BH113"/>
    <mergeCell ref="BI113:BJ113"/>
    <mergeCell ref="AM113:AN113"/>
    <mergeCell ref="AO113:AP113"/>
    <mergeCell ref="AQ113:AR113"/>
    <mergeCell ref="AS113:AT113"/>
    <mergeCell ref="AU113:AV113"/>
    <mergeCell ref="AW113:AX113"/>
    <mergeCell ref="AA113:AB113"/>
    <mergeCell ref="AC113:AD113"/>
    <mergeCell ref="AE113:AF113"/>
    <mergeCell ref="AG113:AH113"/>
    <mergeCell ref="AI113:AJ113"/>
    <mergeCell ref="AK113:AL113"/>
    <mergeCell ref="O113:P113"/>
    <mergeCell ref="Q113:R113"/>
    <mergeCell ref="S113:T113"/>
    <mergeCell ref="U113:V113"/>
    <mergeCell ref="W113:X113"/>
    <mergeCell ref="Y113:Z113"/>
    <mergeCell ref="BO92:BP92"/>
    <mergeCell ref="BQ92:BR92"/>
    <mergeCell ref="A109:B109"/>
    <mergeCell ref="A112:C112"/>
    <mergeCell ref="C113:D113"/>
    <mergeCell ref="E113:F113"/>
    <mergeCell ref="G113:H113"/>
    <mergeCell ref="I113:J113"/>
    <mergeCell ref="K113:L113"/>
    <mergeCell ref="M113:N113"/>
    <mergeCell ref="BC92:BD92"/>
    <mergeCell ref="BE92:BF92"/>
    <mergeCell ref="BG92:BH92"/>
    <mergeCell ref="BI92:BJ92"/>
    <mergeCell ref="BK92:BL92"/>
    <mergeCell ref="BM92:BN92"/>
    <mergeCell ref="AQ92:AR92"/>
    <mergeCell ref="AS92:AT92"/>
    <mergeCell ref="AU92:AV92"/>
    <mergeCell ref="AW92:AX92"/>
    <mergeCell ref="AY92:AZ92"/>
    <mergeCell ref="BA92:BB92"/>
    <mergeCell ref="AE92:AF92"/>
    <mergeCell ref="AG92:AH92"/>
    <mergeCell ref="AI92:AJ92"/>
    <mergeCell ref="AK92:AL92"/>
    <mergeCell ref="AM92:AN92"/>
    <mergeCell ref="AO92:AP92"/>
    <mergeCell ref="S92:T92"/>
    <mergeCell ref="U92:V92"/>
    <mergeCell ref="W92:X92"/>
    <mergeCell ref="Y92:Z92"/>
    <mergeCell ref="AA92:AB92"/>
    <mergeCell ref="AC92:AD92"/>
    <mergeCell ref="A90:S90"/>
    <mergeCell ref="A91:C91"/>
    <mergeCell ref="C92:D92"/>
    <mergeCell ref="E92:F92"/>
    <mergeCell ref="G92:H92"/>
    <mergeCell ref="I92:J92"/>
    <mergeCell ref="K92:L92"/>
    <mergeCell ref="M92:N92"/>
    <mergeCell ref="O92:P92"/>
    <mergeCell ref="Q92:R92"/>
    <mergeCell ref="BI71:BJ72"/>
    <mergeCell ref="BK71:BL72"/>
    <mergeCell ref="BM71:BN72"/>
    <mergeCell ref="BO71:BP72"/>
    <mergeCell ref="A88:B88"/>
    <mergeCell ref="AW71:AX72"/>
    <mergeCell ref="AY71:AZ72"/>
    <mergeCell ref="BA71:BB72"/>
    <mergeCell ref="BC71:BD72"/>
    <mergeCell ref="BE71:BF72"/>
    <mergeCell ref="BG71:BH72"/>
    <mergeCell ref="AK71:AL72"/>
    <mergeCell ref="AM71:AN72"/>
    <mergeCell ref="AO71:AP72"/>
    <mergeCell ref="AQ71:AR72"/>
    <mergeCell ref="AS71:AT72"/>
    <mergeCell ref="AU71:AV72"/>
    <mergeCell ref="Y71:Z72"/>
    <mergeCell ref="AA71:AB72"/>
    <mergeCell ref="AG71:AH72"/>
    <mergeCell ref="AI71:AJ72"/>
    <mergeCell ref="M71:N72"/>
    <mergeCell ref="O71:P72"/>
    <mergeCell ref="Q71:R72"/>
    <mergeCell ref="S71:T72"/>
    <mergeCell ref="U71:V72"/>
    <mergeCell ref="W71:X72"/>
    <mergeCell ref="BK49:BL49"/>
    <mergeCell ref="BM49:BN49"/>
    <mergeCell ref="BO49:BP49"/>
    <mergeCell ref="BQ49:BR49"/>
    <mergeCell ref="A70:C70"/>
    <mergeCell ref="C71:D72"/>
    <mergeCell ref="E71:F72"/>
    <mergeCell ref="G71:H72"/>
    <mergeCell ref="I71:J72"/>
    <mergeCell ref="K71:L72"/>
    <mergeCell ref="AY49:AZ49"/>
    <mergeCell ref="BA49:BB49"/>
    <mergeCell ref="BC49:BD49"/>
    <mergeCell ref="BE49:BF49"/>
    <mergeCell ref="BG49:BH49"/>
    <mergeCell ref="BI49:BJ49"/>
    <mergeCell ref="AM49:AN49"/>
    <mergeCell ref="AO49:AP49"/>
    <mergeCell ref="AQ49:AR49"/>
    <mergeCell ref="AS49:AT49"/>
    <mergeCell ref="AU49:AV49"/>
    <mergeCell ref="AW49:AX49"/>
    <mergeCell ref="AA49:AB49"/>
    <mergeCell ref="AC49:AD49"/>
    <mergeCell ref="AE49:AF49"/>
    <mergeCell ref="AG49:AH49"/>
    <mergeCell ref="AI49:AJ49"/>
    <mergeCell ref="AK49:AL49"/>
    <mergeCell ref="O49:P49"/>
    <mergeCell ref="Q49:R49"/>
    <mergeCell ref="S49:T49"/>
    <mergeCell ref="U49:V49"/>
    <mergeCell ref="W49:X49"/>
    <mergeCell ref="Y49:Z49"/>
    <mergeCell ref="C49:D49"/>
    <mergeCell ref="E49:F49"/>
    <mergeCell ref="G49:H49"/>
    <mergeCell ref="I49:J49"/>
    <mergeCell ref="K49:L49"/>
    <mergeCell ref="M49:N49"/>
    <mergeCell ref="BK25:BL25"/>
    <mergeCell ref="I25:J25"/>
    <mergeCell ref="K25:L25"/>
    <mergeCell ref="M25:N25"/>
    <mergeCell ref="BM25:BN25"/>
    <mergeCell ref="BO25:BP25"/>
    <mergeCell ref="BQ25:BR25"/>
    <mergeCell ref="A43:B43"/>
    <mergeCell ref="A48:C48"/>
    <mergeCell ref="AY25:AZ25"/>
    <mergeCell ref="BA25:BB25"/>
    <mergeCell ref="BC25:BD25"/>
    <mergeCell ref="BE25:BF25"/>
    <mergeCell ref="BG25:BH25"/>
    <mergeCell ref="BI25:BJ25"/>
    <mergeCell ref="AM25:AN25"/>
    <mergeCell ref="AO25:AP25"/>
    <mergeCell ref="AQ25:AR25"/>
    <mergeCell ref="AS25:AT25"/>
    <mergeCell ref="AU25:AV25"/>
    <mergeCell ref="AW25:AX25"/>
    <mergeCell ref="AA25:AB25"/>
    <mergeCell ref="AC25:AD25"/>
    <mergeCell ref="AE25:AF25"/>
    <mergeCell ref="AG25:AH25"/>
    <mergeCell ref="AI25:AJ25"/>
    <mergeCell ref="AK25:AL25"/>
    <mergeCell ref="O25:P25"/>
    <mergeCell ref="Q25:R25"/>
    <mergeCell ref="S25:T25"/>
    <mergeCell ref="U25:V25"/>
    <mergeCell ref="W25:X25"/>
    <mergeCell ref="Y25:Z25"/>
    <mergeCell ref="C25:D25"/>
    <mergeCell ref="E25:F25"/>
    <mergeCell ref="G25:H25"/>
    <mergeCell ref="A24:C24"/>
    <mergeCell ref="C12:D12"/>
    <mergeCell ref="C13:D13"/>
    <mergeCell ref="C14:D14"/>
    <mergeCell ref="C15:D15"/>
    <mergeCell ref="AY3:AZ4"/>
    <mergeCell ref="BA3:BB4"/>
    <mergeCell ref="BC3:BD4"/>
    <mergeCell ref="BE3:BF4"/>
    <mergeCell ref="BG3:BH4"/>
    <mergeCell ref="BI3:BJ4"/>
    <mergeCell ref="AM3:AN4"/>
    <mergeCell ref="AO3:AP4"/>
    <mergeCell ref="AQ3:AR4"/>
    <mergeCell ref="AS3:AT4"/>
    <mergeCell ref="AU3:AV4"/>
    <mergeCell ref="AW3:AX4"/>
    <mergeCell ref="AA3:AB4"/>
    <mergeCell ref="AC3:AD4"/>
    <mergeCell ref="AE3:AF4"/>
    <mergeCell ref="AG3:AH4"/>
    <mergeCell ref="AI3:AJ4"/>
    <mergeCell ref="AK3:AL4"/>
    <mergeCell ref="O3:P4"/>
    <mergeCell ref="Q3:R4"/>
    <mergeCell ref="S3:T4"/>
    <mergeCell ref="U3:V4"/>
    <mergeCell ref="E21:F21"/>
    <mergeCell ref="G21:H21"/>
    <mergeCell ref="I21:J21"/>
    <mergeCell ref="K21:L21"/>
    <mergeCell ref="C16:D16"/>
    <mergeCell ref="AC1:AD1"/>
    <mergeCell ref="AE1:AF1"/>
    <mergeCell ref="AG1:AH1"/>
    <mergeCell ref="AI1:AJ1"/>
    <mergeCell ref="M1:N1"/>
    <mergeCell ref="O1:P1"/>
    <mergeCell ref="Q1:R1"/>
    <mergeCell ref="S1:T1"/>
    <mergeCell ref="U1:V1"/>
    <mergeCell ref="W1:X1"/>
    <mergeCell ref="A1:B1"/>
    <mergeCell ref="C1:D1"/>
    <mergeCell ref="BK3:BL4"/>
    <mergeCell ref="BM3:BN4"/>
    <mergeCell ref="BO3:BP4"/>
    <mergeCell ref="BQ3:BR4"/>
    <mergeCell ref="A21:B21"/>
    <mergeCell ref="C17:D17"/>
    <mergeCell ref="C18:D18"/>
    <mergeCell ref="C19:D19"/>
    <mergeCell ref="C20:D20"/>
    <mergeCell ref="C21:D21"/>
    <mergeCell ref="E10:F10"/>
    <mergeCell ref="E9:F9"/>
    <mergeCell ref="E8:F8"/>
    <mergeCell ref="E7:F7"/>
    <mergeCell ref="E6:F6"/>
    <mergeCell ref="E11:F11"/>
    <mergeCell ref="E12:F12"/>
    <mergeCell ref="E13:F13"/>
    <mergeCell ref="E14:F14"/>
    <mergeCell ref="E15:F15"/>
    <mergeCell ref="E1:F1"/>
    <mergeCell ref="G1:H1"/>
    <mergeCell ref="I1:J1"/>
    <mergeCell ref="K1:L1"/>
    <mergeCell ref="W3:X4"/>
    <mergeCell ref="Y3:Z4"/>
    <mergeCell ref="C3:D4"/>
    <mergeCell ref="E3:F4"/>
    <mergeCell ref="G3:H4"/>
    <mergeCell ref="I3:J4"/>
    <mergeCell ref="K3:L4"/>
    <mergeCell ref="M3:N4"/>
    <mergeCell ref="BI1:BJ1"/>
    <mergeCell ref="BK1:BL1"/>
    <mergeCell ref="BM1:BN1"/>
    <mergeCell ref="BO1:BP1"/>
    <mergeCell ref="BQ1:BR1"/>
    <mergeCell ref="A2:D2"/>
    <mergeCell ref="AW1:AX1"/>
    <mergeCell ref="AY1:AZ1"/>
    <mergeCell ref="BA1:BB1"/>
    <mergeCell ref="BC1:BD1"/>
    <mergeCell ref="BE1:BF1"/>
    <mergeCell ref="BG1:BH1"/>
    <mergeCell ref="AK1:AL1"/>
    <mergeCell ref="AM1:AN1"/>
    <mergeCell ref="AO1:AP1"/>
    <mergeCell ref="AQ1:AR1"/>
    <mergeCell ref="AS1:AT1"/>
    <mergeCell ref="AU1:AV1"/>
    <mergeCell ref="Y1:Z1"/>
    <mergeCell ref="AA1:AB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C7DF2BF30EB7C40A930D6A0440665B4" ma:contentTypeVersion="20" ma:contentTypeDescription="Create a new document." ma:contentTypeScope="" ma:versionID="292e6f1bcd5fbea0b62aea6c573956b0">
  <xsd:schema xmlns:xsd="http://www.w3.org/2001/XMLSchema" xmlns:xs="http://www.w3.org/2001/XMLSchema" xmlns:p="http://schemas.microsoft.com/office/2006/metadata/properties" xmlns:ns1="http://schemas.microsoft.com/sharepoint/v3" xmlns:ns2="7ae28b26-3b99-4213-afc8-a54abfb0dde2" xmlns:ns3="49256bcb-6f8c-4a34-911a-89b0bf255555" targetNamespace="http://schemas.microsoft.com/office/2006/metadata/properties" ma:root="true" ma:fieldsID="f20901e18c7686c3e64a124f7265c663" ns1:_="" ns2:_="" ns3:_="">
    <xsd:import namespace="http://schemas.microsoft.com/sharepoint/v3"/>
    <xsd:import namespace="7ae28b26-3b99-4213-afc8-a54abfb0dde2"/>
    <xsd:import namespace="49256bcb-6f8c-4a34-911a-89b0bf25555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1:_ip_UnifiedCompliancePolicyProperties" minOccurs="0"/>
                <xsd:element ref="ns1:_ip_UnifiedCompliancePolicyUIAc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e28b26-3b99-4213-afc8-a54abfb0dd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8084b5b8-5c41-402a-93b7-1e2a455a055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256bcb-6f8c-4a34-911a-89b0bf255555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96e56e3b-92d8-43d6-b899-351aafd1bae0}" ma:internalName="TaxCatchAll" ma:showField="CatchAllData" ma:web="49256bcb-6f8c-4a34-911a-89b0bf25555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TaxCatchAll xmlns="49256bcb-6f8c-4a34-911a-89b0bf255555" xsi:nil="true"/>
    <lcf76f155ced4ddcb4097134ff3c332f xmlns="7ae28b26-3b99-4213-afc8-a54abfb0dde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114C86C-B9CC-4022-BE0B-ECB3223421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ae28b26-3b99-4213-afc8-a54abfb0dde2"/>
    <ds:schemaRef ds:uri="49256bcb-6f8c-4a34-911a-89b0bf25555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CA498A2-94BA-476C-9A88-ADD3DFCF608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D3A00A2-1338-4B13-99A7-E4CD8CDEB70E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13cbd608-7dd0-4df3-a194-c2ecac5bdf3b"/>
    <ds:schemaRef ds:uri="917e680c-df65-474d-b9ab-ba4aeec90a73"/>
    <ds:schemaRef ds:uri="49256bcb-6f8c-4a34-911a-89b0bf255555"/>
    <ds:schemaRef ds:uri="7ae28b26-3b99-4213-afc8-a54abfb0dde2"/>
  </ds:schemaRefs>
</ds:datastoreItem>
</file>

<file path=docMetadata/LabelInfo.xml><?xml version="1.0" encoding="utf-8"?>
<clbl:labelList xmlns:clbl="http://schemas.microsoft.com/office/2020/mipLabelMetadata">
  <clbl:label id="{763da656-5c75-4f6d-9461-4a3ce9a537cc}" enabled="1" method="Standard" siteId="{d9d3f5ac-f803-49be-949f-14a7074d74a7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SHAV Final 2223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Ball, Heather</dc:creator>
  <cp:lastModifiedBy>Helen Stewart</cp:lastModifiedBy>
  <dcterms:created xsi:type="dcterms:W3CDTF">2023-04-13T13:45:25Z</dcterms:created>
  <dcterms:modified xsi:type="dcterms:W3CDTF">2024-01-24T10:31:14Z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0x0101006B3AE4EAE62A4541A5F3689BBDDA41BD</vt:lpwstr>
  </property>
  <property fmtid="{D5CDD505-2E9C-101B-9397-08002B2CF9AE}" pid="3" name="MediaServiceImageTags">
    <vt:lpwstr/>
  </property>
</Properties>
</file>